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EH9b8iEbPDDBxkcfEMCYfLGet9V1jvQlL0L8M84xFqudFhQChWSB/yff/e6TIK3mBMKUU/wmFXgyD4xQdiM4g==" workbookSaltValue="N5TVA9dbz5rPHUj3Lrrt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F16" i="11"/>
  <c r="AQ16" i="11" s="1"/>
  <c r="EP31" i="8"/>
  <c r="AL14" i="16"/>
  <c r="AJ14" i="16"/>
  <c r="EP31" i="19"/>
  <c r="BM17" i="11"/>
  <c r="Q18" i="20"/>
  <c r="Q23" i="20" s="1"/>
  <c r="V11" i="16"/>
  <c r="BF28" i="11"/>
  <c r="BF21" i="11"/>
  <c r="BF18" i="11"/>
  <c r="V25" i="11"/>
  <c r="BG20" i="11"/>
  <c r="BF17" i="11"/>
  <c r="BG22" i="11"/>
  <c r="BF10" i="11"/>
  <c r="BK29" i="11"/>
  <c r="BL12" i="11"/>
  <c r="AZ19" i="11"/>
  <c r="S14" i="16"/>
  <c r="V12" i="21"/>
  <c r="P14" i="16"/>
  <c r="F13" i="16"/>
  <c r="Z14" i="17"/>
  <c r="R30" i="17"/>
  <c r="K26" i="2"/>
  <c r="N26"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8" i="2"/>
  <c r="X22" i="16"/>
  <c r="X21" i="20"/>
  <c r="S16" i="17"/>
  <c r="AH14" i="16"/>
  <c r="S17" i="17"/>
  <c r="L16" i="2"/>
  <c r="L17" i="2"/>
  <c r="X19" i="16"/>
  <c r="L18" i="2"/>
  <c r="X10" i="21"/>
  <c r="AO14" i="21"/>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BF17" i="8"/>
  <c r="M23" i="2"/>
  <c r="AL21" i="11"/>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<sst xmlns="http://schemas.openxmlformats.org/spreadsheetml/2006/main" count="2682" uniqueCount="1193">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</sst>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wvJuZDr0eVA0ipCG7DvBjwT2uikxGW2/53Qvkyn2dyYzOurnUGDNiWpWP2Nfvi40TmqGCM5rXeaP05S9RlhJg==" saltValue="McyGKADDVoGP1SchGK7F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3</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32.46641791044776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888</v>
      </c>
      <c r="D17" s="239">
        <f>IF(ISNUMBER(IF(D_I="SI",Datos!I17,Datos!I17+Datos!AC17)),IF(D_I="SI",Datos!I17,Datos!I17+Datos!AC17)," - ")</f>
        <v>875</v>
      </c>
      <c r="E17" s="240">
        <f>IF(ISNUMBER(IF(D_I="SI",Datos!J17,Datos!J17+Datos!AD17)),IF(D_I="SI",Datos!J17,Datos!J17+Datos!AD17)," - ")</f>
        <v>754</v>
      </c>
      <c r="F17" s="240">
        <f>IF(ISNUMBER(IF(D_I="SI",Datos!K17,Datos!K17+Datos!AE17)),IF(D_I="SI",Datos!K17,Datos!K17+Datos!AE17)," - ")</f>
        <v>688</v>
      </c>
      <c r="G17" s="1390" t="str">
        <f>IF(Datos!E17&lt;&gt;"",Datos!E17,Datos!D17)</f>
        <v>04</v>
      </c>
      <c r="H17" s="241">
        <f>IF(ISNUMBER(IF(D_I="SI",Datos!L17,Datos!L17+Datos!AF17)),IF(D_I="SI",Datos!L17,Datos!L17+Datos!AF17)," - ")</f>
        <v>954</v>
      </c>
      <c r="I17" s="1400" t="str">
        <f>IF(ISNUMBER(Datos!AS17/Datos!BM17),Datos!AS17/Datos!BM17," - ")</f>
        <v xml:space="preserve"> - </v>
      </c>
      <c r="J17" s="1401">
        <f>IF(ISNUMBER(Datos!BY17/Datos!CN17),Datos!BY17/Datos!CN17," - ")</f>
        <v>0</v>
      </c>
      <c r="K17" s="244">
        <f t="shared" si="3"/>
        <v>7.4324324324324328E-2</v>
      </c>
      <c r="L17" s="1402">
        <f>IF(ISNUMBER(NºAsuntos!I17/NºAsuntos!G17),(NºAsuntos!I17/NºAsuntos!G17)*11," - ")</f>
        <v>15.252906976744185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37</v>
      </c>
      <c r="F18" s="240">
        <f>IF(ISNUMBER(IF(D_I="SI",Datos!K18,Datos!K18+Datos!AE18)),IF(D_I="SI",Datos!K18,Datos!K18+Datos!AE18)," - ")</f>
        <v>40</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-6.8181818181818177E-2</v>
      </c>
      <c r="L18" s="1402">
        <f>IF(ISNUMBER(NºAsuntos!I18/NºAsuntos!G18),(NºAsuntos!I18/NºAsuntos!G18)*11," - ")</f>
        <v>11.274999999999999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932</v>
      </c>
      <c r="D23" s="1407">
        <f>SUBTOTAL(9,D16:D22)</f>
        <v>919</v>
      </c>
      <c r="E23" s="1408">
        <f>SUBTOTAL(9,E16:E22)</f>
        <v>791</v>
      </c>
      <c r="F23" s="1408">
        <f>SUBTOTAL(9,F16:F22)</f>
        <v>728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944</v>
      </c>
      <c r="D31" s="1435">
        <f>SUBTOTAL(9,D9:D30)</f>
        <v>931</v>
      </c>
      <c r="E31" s="1436">
        <f>SUBTOTAL(9,E9:E30)</f>
        <v>794</v>
      </c>
      <c r="F31" s="1436">
        <f>SUBTOTAL(9,F9:F30)</f>
        <v>730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QDTNgwhyQKTy7khS3yzesR/lqWV+V+JG+i0ijVJpMOAQq6KcWtS3YZ7WJbZQRr25GWdpaHArdMFYkaXtoNj9g==" saltValue="Ti3vwilePknDSt6b/UOv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1hmw7LWuvrUSKGce6SQ+BcuLnbp0IkP9YFqdU11sj4FzDjUCCQn3zci3t+DdLji2uuuqW4mXS5LQ3zAom7tg==" saltValue="dv7iMCqnOHNPlqldaF4U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3</v>
      </c>
      <c r="K10" s="194">
        <v>2</v>
      </c>
      <c r="L10" s="194">
        <v>13</v>
      </c>
      <c r="M10" s="194">
        <v>1</v>
      </c>
      <c r="N10" s="194">
        <v>1</v>
      </c>
      <c r="O10" s="194">
        <v>0</v>
      </c>
      <c r="P10" s="194">
        <v>1</v>
      </c>
      <c r="Q10" s="194">
        <v>0</v>
      </c>
      <c r="R10" s="194">
        <v>10</v>
      </c>
      <c r="S10" s="194">
        <v>12</v>
      </c>
      <c r="T10" s="194">
        <v>9</v>
      </c>
      <c r="U10" s="194">
        <v>7</v>
      </c>
      <c r="V10" s="194">
        <v>14</v>
      </c>
      <c r="W10" s="194">
        <v>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9</v>
      </c>
      <c r="BA10" s="139">
        <f t="shared" si="0"/>
        <v>7</v>
      </c>
      <c r="BB10" s="139">
        <f t="shared" si="0"/>
        <v>14</v>
      </c>
      <c r="BC10" s="135">
        <f t="shared" si="0"/>
        <v>6</v>
      </c>
      <c r="BD10" s="136">
        <f>IF(ISNUMBER(BA10/AZ10),BA10/AZ10," - ")</f>
        <v>0.77777777777777779</v>
      </c>
      <c r="BE10" s="137">
        <f>IF(ISNUMBER(BB10/BA10),BB10/BA10, " - ")</f>
        <v>2</v>
      </c>
      <c r="BF10" s="137">
        <f>IF(ISNUMBER(BC10/BA10),BC10/BA10, " - ")</f>
        <v>0.8571428571428571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1970</v>
      </c>
      <c r="J12" s="196">
        <v>960</v>
      </c>
      <c r="K12" s="196">
        <v>724</v>
      </c>
      <c r="L12" s="196">
        <v>2210</v>
      </c>
      <c r="M12" s="196">
        <v>213</v>
      </c>
      <c r="N12" s="196">
        <v>221</v>
      </c>
      <c r="O12" s="194">
        <v>180</v>
      </c>
      <c r="P12" s="196">
        <v>226</v>
      </c>
      <c r="Q12" s="196">
        <v>79</v>
      </c>
      <c r="R12" s="196">
        <v>2899</v>
      </c>
      <c r="S12" s="196">
        <v>1669</v>
      </c>
      <c r="T12" s="196">
        <v>626</v>
      </c>
      <c r="U12" s="196">
        <v>632</v>
      </c>
      <c r="V12" s="196">
        <v>1663</v>
      </c>
      <c r="W12" s="196">
        <v>162</v>
      </c>
      <c r="X12" s="202">
        <v>203</v>
      </c>
      <c r="Y12" s="204">
        <v>144</v>
      </c>
      <c r="Z12" s="194">
        <v>99</v>
      </c>
      <c r="AA12" s="194">
        <v>80</v>
      </c>
      <c r="AB12" s="194">
        <v>163</v>
      </c>
      <c r="AC12" s="196">
        <v>0</v>
      </c>
      <c r="AD12" s="196">
        <v>0</v>
      </c>
      <c r="AE12" s="196">
        <v>0</v>
      </c>
      <c r="AF12" s="202">
        <v>0</v>
      </c>
      <c r="AG12" s="215">
        <v>87</v>
      </c>
      <c r="AH12" s="196">
        <v>82</v>
      </c>
      <c r="AI12" s="196">
        <v>81</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1756</v>
      </c>
      <c r="AZ12" s="137">
        <f t="shared" si="1"/>
        <v>708</v>
      </c>
      <c r="BA12" s="137">
        <f t="shared" si="1"/>
        <v>713</v>
      </c>
      <c r="BB12" s="137">
        <f t="shared" si="1"/>
        <v>1751</v>
      </c>
      <c r="BC12" s="135">
        <f>IF(ISNUMBER(X12),X12," - ")</f>
        <v>203</v>
      </c>
      <c r="BD12" s="136">
        <f t="shared" si="2"/>
        <v>1.0070621468926553</v>
      </c>
      <c r="BE12" s="137">
        <f t="shared" si="3"/>
        <v>2.4558204768583449</v>
      </c>
      <c r="BF12" s="137">
        <f t="shared" si="4"/>
        <v>0.28471248246844322</v>
      </c>
      <c r="BG12" s="209">
        <f t="shared" si="5"/>
        <v>3.4558204768583449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1982</v>
      </c>
      <c r="J14" s="197">
        <f t="shared" si="7"/>
        <v>963</v>
      </c>
      <c r="K14" s="197">
        <f t="shared" si="7"/>
        <v>726</v>
      </c>
      <c r="L14" s="197">
        <f t="shared" si="7"/>
        <v>2223</v>
      </c>
      <c r="M14" s="197">
        <f t="shared" si="7"/>
        <v>214</v>
      </c>
      <c r="N14" s="197">
        <f t="shared" si="7"/>
        <v>222</v>
      </c>
      <c r="O14" s="197">
        <f t="shared" si="7"/>
        <v>180</v>
      </c>
      <c r="P14" s="197">
        <f t="shared" si="7"/>
        <v>227</v>
      </c>
      <c r="Q14" s="197">
        <f t="shared" si="7"/>
        <v>79</v>
      </c>
      <c r="R14" s="197">
        <f t="shared" si="7"/>
        <v>2909</v>
      </c>
      <c r="S14" s="197">
        <f t="shared" si="7"/>
        <v>1681</v>
      </c>
      <c r="T14" s="197">
        <f t="shared" si="7"/>
        <v>635</v>
      </c>
      <c r="U14" s="197">
        <f t="shared" si="7"/>
        <v>639</v>
      </c>
      <c r="V14" s="197">
        <f t="shared" si="7"/>
        <v>1677</v>
      </c>
      <c r="W14" s="197">
        <f t="shared" si="7"/>
        <v>168</v>
      </c>
      <c r="X14" s="197">
        <f t="shared" si="7"/>
        <v>204</v>
      </c>
      <c r="Y14" s="197">
        <f t="shared" si="7"/>
        <v>144</v>
      </c>
      <c r="Z14" s="197">
        <f t="shared" si="7"/>
        <v>99</v>
      </c>
      <c r="AA14" s="197">
        <f t="shared" si="7"/>
        <v>80</v>
      </c>
      <c r="AB14" s="197">
        <f t="shared" si="7"/>
        <v>163</v>
      </c>
      <c r="AC14" s="197">
        <f t="shared" si="7"/>
        <v>0</v>
      </c>
      <c r="AD14" s="197">
        <f t="shared" si="7"/>
        <v>0</v>
      </c>
      <c r="AE14" s="197">
        <f t="shared" si="7"/>
        <v>0</v>
      </c>
      <c r="AF14" s="197">
        <f>SUBTOTAL(9,AF9:AF13)</f>
        <v>0</v>
      </c>
      <c r="AG14" s="197">
        <f t="shared" ref="AG14:AT14" si="8">SUBTOTAL(9,AG8:AG13)</f>
        <v>87</v>
      </c>
      <c r="AH14" s="197">
        <f t="shared" si="8"/>
        <v>82</v>
      </c>
      <c r="AI14" s="197">
        <f t="shared" si="8"/>
        <v>81</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1768</v>
      </c>
      <c r="AZ14" s="197">
        <f>SUBTOTAL(9,AZ8:AZ13)</f>
        <v>717</v>
      </c>
      <c r="BA14" s="197">
        <f>SUBTOTAL(9,BA8:BA13)</f>
        <v>720</v>
      </c>
      <c r="BB14" s="197">
        <f>SUBTOTAL(9,BB8:BB13)</f>
        <v>1765</v>
      </c>
      <c r="BC14" s="197">
        <f>SUBTOTAL(9,BC8:BC13)</f>
        <v>209</v>
      </c>
      <c r="BD14" s="219">
        <f>IF(ISNUMBER(BA14/AZ14),BA14/AZ14," - ")</f>
        <v>1.00418410041841</v>
      </c>
      <c r="BE14" s="220">
        <f>IF(ISNUMBER(BB14/BA14),BB14/BA14, " - ")</f>
        <v>2.4513888888888888</v>
      </c>
      <c r="BF14" s="220">
        <f>IF(ISNUMBER(BC14/BA14),BC14/BA14, " - ")</f>
        <v>0.2902777777777778</v>
      </c>
      <c r="BG14" s="221">
        <f>IF(ISNUMBER((AY14+AZ14)/BA14),(AY14+AZ14)/BA14," - ")</f>
        <v>3.4513888888888888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875</v>
      </c>
      <c r="J17" s="196">
        <v>754</v>
      </c>
      <c r="K17" s="196">
        <v>688</v>
      </c>
      <c r="L17" s="196">
        <v>954</v>
      </c>
      <c r="M17" s="196">
        <v>76</v>
      </c>
      <c r="N17" s="196">
        <v>376</v>
      </c>
      <c r="O17" s="194">
        <v>11</v>
      </c>
      <c r="P17" s="196">
        <v>13</v>
      </c>
      <c r="Q17" s="196">
        <v>26</v>
      </c>
      <c r="R17" s="196">
        <v>81</v>
      </c>
      <c r="S17" s="196">
        <v>770</v>
      </c>
      <c r="T17" s="196">
        <v>642</v>
      </c>
      <c r="U17" s="196">
        <v>685</v>
      </c>
      <c r="V17" s="196">
        <v>739</v>
      </c>
      <c r="W17" s="196">
        <v>93</v>
      </c>
      <c r="X17" s="202">
        <v>414</v>
      </c>
      <c r="Y17" s="215">
        <v>0</v>
      </c>
      <c r="Z17" s="196">
        <v>0</v>
      </c>
      <c r="AA17" s="196">
        <v>0</v>
      </c>
      <c r="AB17" s="196">
        <v>0</v>
      </c>
      <c r="AC17" s="196">
        <v>0</v>
      </c>
      <c r="AD17" s="196">
        <v>9</v>
      </c>
      <c r="AE17" s="196">
        <v>9</v>
      </c>
      <c r="AF17" s="202">
        <v>0</v>
      </c>
      <c r="AG17" s="215">
        <v>0</v>
      </c>
      <c r="AH17" s="196">
        <v>0</v>
      </c>
      <c r="AI17" s="196">
        <v>0</v>
      </c>
      <c r="AJ17" s="216">
        <v>0</v>
      </c>
      <c r="AK17" s="195">
        <v>0</v>
      </c>
      <c r="AL17" s="196">
        <v>5</v>
      </c>
      <c r="AM17" s="196">
        <v>5</v>
      </c>
      <c r="AN17" s="202">
        <v>0</v>
      </c>
      <c r="AO17" s="283">
        <v>4</v>
      </c>
      <c r="AP17" s="168">
        <v>4</v>
      </c>
      <c r="AQ17" s="168">
        <v>4</v>
      </c>
      <c r="AR17" s="168">
        <v>4</v>
      </c>
      <c r="AS17" s="381" t="s">
        <v>650</v>
      </c>
      <c r="AT17" s="216"/>
      <c r="AU17" s="215"/>
      <c r="AV17" s="216"/>
      <c r="AW17" s="215"/>
      <c r="AX17" s="216"/>
      <c r="AY17" s="136">
        <f t="shared" si="10"/>
        <v>770</v>
      </c>
      <c r="AZ17" s="137">
        <f t="shared" si="10"/>
        <v>642</v>
      </c>
      <c r="BA17" s="137">
        <f t="shared" si="10"/>
        <v>685</v>
      </c>
      <c r="BB17" s="137">
        <f t="shared" si="10"/>
        <v>739</v>
      </c>
      <c r="BC17" s="135">
        <f>IF(ISNUMBER(W17),W17," - ")</f>
        <v>93</v>
      </c>
      <c r="BD17" s="136">
        <f t="shared" ref="BD17:BD22" si="12">IF(ISNUMBER(BA17/AZ17),BA17/AZ17," - ")</f>
        <v>1.0669781931464175</v>
      </c>
      <c r="BE17" s="137">
        <f t="shared" ref="BE17:BE22" si="13">IF(ISNUMBER(BB17/BA17),BB17/BA17, " - ")</f>
        <v>1.0788321167883212</v>
      </c>
      <c r="BF17" s="137">
        <f t="shared" ref="BF17:BF22" si="14">IF(ISNUMBER(BC17/BA17),BC17/BA17, " - ")</f>
        <v>0.13576642335766423</v>
      </c>
      <c r="BG17" s="209">
        <f t="shared" si="11"/>
        <v>2.0613138686131385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37</v>
      </c>
      <c r="K18" s="196">
        <v>40</v>
      </c>
      <c r="L18" s="196">
        <v>41</v>
      </c>
      <c r="M18" s="196">
        <v>4</v>
      </c>
      <c r="N18" s="196">
        <v>25</v>
      </c>
      <c r="O18" s="196">
        <v>0</v>
      </c>
      <c r="P18" s="196">
        <v>0</v>
      </c>
      <c r="Q18" s="196">
        <v>0</v>
      </c>
      <c r="R18" s="196">
        <v>0</v>
      </c>
      <c r="S18" s="196">
        <v>52</v>
      </c>
      <c r="T18" s="196">
        <v>50</v>
      </c>
      <c r="U18" s="196">
        <v>55</v>
      </c>
      <c r="V18" s="196">
        <v>47</v>
      </c>
      <c r="W18" s="196">
        <v>8</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50</v>
      </c>
      <c r="BA18" s="139">
        <f t="shared" si="15"/>
        <v>55</v>
      </c>
      <c r="BB18" s="139">
        <f t="shared" si="15"/>
        <v>47</v>
      </c>
      <c r="BC18" s="135">
        <f>IF(ISNUMBER(W18),W18," - ")</f>
        <v>8</v>
      </c>
      <c r="BD18" s="136">
        <f>IF(ISNUMBER(BA18/AZ18),BA18/AZ18," - ")</f>
        <v>1.1000000000000001</v>
      </c>
      <c r="BE18" s="137">
        <f>IF(ISNUMBER(BB18/BA18),BB18/BA18, " - ")</f>
        <v>0.8545454545454545</v>
      </c>
      <c r="BF18" s="137">
        <f>IF(ISNUMBER(BC18/BA18),BC18/BA18, " - ")</f>
        <v>0.14545454545454545</v>
      </c>
      <c r="BG18" s="209">
        <f>IF(ISNUMBER((AY18+AZ18)/BA18),(AY18+AZ18)/BA18," - ")</f>
        <v>1.8545454545454545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919</v>
      </c>
      <c r="J23" s="197">
        <f t="shared" si="21"/>
        <v>791</v>
      </c>
      <c r="K23" s="197">
        <f t="shared" si="21"/>
        <v>728</v>
      </c>
      <c r="L23" s="197">
        <f t="shared" si="21"/>
        <v>995</v>
      </c>
      <c r="M23" s="197">
        <f t="shared" si="21"/>
        <v>80</v>
      </c>
      <c r="N23" s="197">
        <f t="shared" si="21"/>
        <v>401</v>
      </c>
      <c r="O23" s="197">
        <f t="shared" si="21"/>
        <v>11</v>
      </c>
      <c r="P23" s="197">
        <f t="shared" si="21"/>
        <v>13</v>
      </c>
      <c r="Q23" s="197">
        <f t="shared" si="21"/>
        <v>26</v>
      </c>
      <c r="R23" s="197">
        <f t="shared" si="21"/>
        <v>81</v>
      </c>
      <c r="S23" s="197">
        <f t="shared" si="21"/>
        <v>822</v>
      </c>
      <c r="T23" s="197">
        <f t="shared" si="21"/>
        <v>692</v>
      </c>
      <c r="U23" s="197">
        <f t="shared" si="21"/>
        <v>740</v>
      </c>
      <c r="V23" s="197">
        <f t="shared" si="21"/>
        <v>786</v>
      </c>
      <c r="W23" s="197">
        <f t="shared" si="21"/>
        <v>101</v>
      </c>
      <c r="X23" s="197">
        <f t="shared" si="21"/>
        <v>446</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822</v>
      </c>
      <c r="AZ23" s="197">
        <f>SUBTOTAL(9,AZ15:AZ22)</f>
        <v>692</v>
      </c>
      <c r="BA23" s="197">
        <f>SUBTOTAL(9,BA15:BA22)</f>
        <v>740</v>
      </c>
      <c r="BB23" s="197">
        <f>SUBTOTAL(9,BB15:BB22)</f>
        <v>786</v>
      </c>
      <c r="BC23" s="197">
        <f>SUBTOTAL(9,BC15:BC22)</f>
        <v>101</v>
      </c>
      <c r="BD23" s="219">
        <f>IF(ISNUMBER(BA23/AZ23),BA23/AZ23," - ")</f>
        <v>1.0693641618497109</v>
      </c>
      <c r="BE23" s="220">
        <f>IF(ISNUMBER(BB23/BA23),BB23/BA23, " - ")</f>
        <v>1.0621621621621622</v>
      </c>
      <c r="BF23" s="220">
        <f>IF(ISNUMBER(BC23/BA23),BC23/BA23, " - ")</f>
        <v>0.13648648648648648</v>
      </c>
      <c r="BG23" s="221">
        <f>IF(ISNUMBER((AY23+AZ23)/BA23),(AY23+AZ23)/BA23," - ")</f>
        <v>2.0459459459459461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2901</v>
      </c>
      <c r="J31" s="144">
        <f t="shared" si="36"/>
        <v>1754</v>
      </c>
      <c r="K31" s="144">
        <f t="shared" si="36"/>
        <v>1454</v>
      </c>
      <c r="L31" s="144">
        <f t="shared" si="36"/>
        <v>3218</v>
      </c>
      <c r="M31" s="144">
        <f t="shared" si="36"/>
        <v>294</v>
      </c>
      <c r="N31" s="144">
        <f t="shared" si="36"/>
        <v>623</v>
      </c>
      <c r="O31" s="144">
        <f t="shared" si="36"/>
        <v>191</v>
      </c>
      <c r="P31" s="144">
        <f t="shared" si="36"/>
        <v>240</v>
      </c>
      <c r="Q31" s="144">
        <f t="shared" si="36"/>
        <v>105</v>
      </c>
      <c r="R31" s="144">
        <f t="shared" si="36"/>
        <v>2990</v>
      </c>
      <c r="S31" s="144">
        <f t="shared" si="36"/>
        <v>2503</v>
      </c>
      <c r="T31" s="144">
        <f t="shared" si="36"/>
        <v>1327</v>
      </c>
      <c r="U31" s="144">
        <f t="shared" si="36"/>
        <v>1379</v>
      </c>
      <c r="V31" s="144">
        <f t="shared" si="36"/>
        <v>2463</v>
      </c>
      <c r="W31" s="144">
        <f t="shared" si="36"/>
        <v>269</v>
      </c>
      <c r="X31" s="144">
        <f t="shared" si="36"/>
        <v>650</v>
      </c>
      <c r="Y31" s="144">
        <f t="shared" si="36"/>
        <v>144</v>
      </c>
      <c r="Z31" s="144">
        <f t="shared" si="36"/>
        <v>99</v>
      </c>
      <c r="AA31" s="144">
        <f t="shared" si="36"/>
        <v>80</v>
      </c>
      <c r="AB31" s="144">
        <f t="shared" si="36"/>
        <v>163</v>
      </c>
      <c r="AC31" s="144">
        <f t="shared" si="36"/>
        <v>0</v>
      </c>
      <c r="AD31" s="144">
        <f t="shared" si="36"/>
        <v>9</v>
      </c>
      <c r="AE31" s="144">
        <f t="shared" si="36"/>
        <v>9</v>
      </c>
      <c r="AF31" s="144">
        <f t="shared" si="36"/>
        <v>0</v>
      </c>
      <c r="AG31" s="144">
        <f t="shared" si="36"/>
        <v>87</v>
      </c>
      <c r="AH31" s="144">
        <f t="shared" si="36"/>
        <v>82</v>
      </c>
      <c r="AI31" s="144">
        <f t="shared" si="36"/>
        <v>81</v>
      </c>
      <c r="AJ31" s="144">
        <f t="shared" si="36"/>
        <v>88</v>
      </c>
      <c r="AK31" s="144">
        <f t="shared" si="36"/>
        <v>0</v>
      </c>
      <c r="AL31" s="144">
        <f t="shared" si="36"/>
        <v>5</v>
      </c>
      <c r="AM31" s="144">
        <f t="shared" si="36"/>
        <v>5</v>
      </c>
      <c r="AN31" s="224">
        <f t="shared" si="36"/>
        <v>0</v>
      </c>
      <c r="AO31" s="225">
        <v>5</v>
      </c>
      <c r="AP31" s="225">
        <v>4</v>
      </c>
      <c r="AQ31" s="225">
        <v>4</v>
      </c>
      <c r="AR31" s="225">
        <v>4</v>
      </c>
      <c r="AS31" s="166">
        <f t="shared" si="36"/>
        <v>0</v>
      </c>
      <c r="AT31" s="166">
        <f t="shared" si="36"/>
        <v>0</v>
      </c>
      <c r="AU31" s="225"/>
      <c r="AV31" s="226"/>
      <c r="AW31" s="225"/>
      <c r="AX31" s="226"/>
      <c r="AY31" s="143">
        <f>SUBTOTAL(9,AY9:AY30)</f>
        <v>2590</v>
      </c>
      <c r="AZ31" s="144">
        <f>SUBTOTAL(9,AZ9:AZ30)</f>
        <v>1409</v>
      </c>
      <c r="BA31" s="144">
        <f>SUBTOTAL(9,BA9:BA30)</f>
        <v>1460</v>
      </c>
      <c r="BB31" s="144">
        <f>SUBTOTAL(9,BB9:BB30)</f>
        <v>2551</v>
      </c>
      <c r="BC31" s="145">
        <f>SUBTOTAL(9,BC9:BC30)</f>
        <v>310</v>
      </c>
      <c r="BD31" s="227">
        <f>IF(ISNUMBER(BA31/AZ31),BA31/AZ31," - ")</f>
        <v>1.0361958836053939</v>
      </c>
      <c r="BE31" s="224">
        <f>IF(ISNUMBER(BB31/BA31),BB31/BA31, " - ")</f>
        <v>1.7472602739726026</v>
      </c>
      <c r="BF31" s="224">
        <f>IF(ISNUMBER(BC31/BA31),BC31/BA31, " - ")</f>
        <v>0.21232876712328766</v>
      </c>
      <c r="BG31" s="145">
        <f>IF(ISNUMBER((AY31+AZ31)/BA31),(AY31+AZ31)/BA31," - ")</f>
        <v>2.739041095890411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0+XTsVP6vAmoi5LKPL+SxdC1nuACKqXWMgCesjYTOJjZHDTR8+t7YWELbmxiEC2yPmYaD36QTBO/bxnI5SXA==" saltValue="ov17WrUd5VebUJS8KL7u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eUmz5UwhpsqeFV9iOoEa3uYYB+O6ph9TgAVnZqlADAMhSg3YJpMqJWOkc9JAlq4+vwcVgd2LOuAobI4x7GTfQ==" saltValue="qzJyWMnWeEJ0PhLRnZd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BETANZOS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226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163</v>
      </c>
      <c r="AI12" s="549" t="str">
        <f>IF(ISNUMBER(Datos!CD12),Datos!CD12,"-")</f>
        <v>-</v>
      </c>
      <c r="AJ12" s="549" t="str">
        <f>IF(ISNUMBER(Datos!EN12),Datos!EN12," - ")</f>
        <v xml:space="preserve"> - </v>
      </c>
      <c r="AK12" s="549"/>
      <c r="AL12" s="550"/>
      <c r="AM12" s="766">
        <f>IF(ISNUMBER(Datos!R12),Datos!R12," - ")</f>
        <v>2899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213</v>
      </c>
      <c r="BD12" s="693">
        <f>IF(ISNUMBER(Datos!N12),Datos!N12," - ")</f>
        <v>221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0.75920679886685549</v>
      </c>
      <c r="BH12" s="764">
        <f>IF(ISNUMBER(((IF(J_V="SI",Datos!L12/Datos!K12,(Datos!L12+Datos!AB12)/(Datos!K12+Datos!AA12)))*11)/factor_trimestre),((IF(J_V="SI",Datos!L12/Datos!K12,(Datos!L12+Datos!AB12)/(Datos!K12+Datos!AA12)))*11)/factor_trimestre," - ")</f>
        <v>8.8544776119402986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5.3415697674418602E-2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227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79</v>
      </c>
      <c r="AD14" s="1198">
        <f t="shared" si="2"/>
        <v>0</v>
      </c>
      <c r="AE14" s="1198">
        <f t="shared" si="2"/>
        <v>0</v>
      </c>
      <c r="AF14" s="1198">
        <f t="shared" si="2"/>
        <v>13</v>
      </c>
      <c r="AG14" s="1198">
        <f t="shared" si="2"/>
        <v>0</v>
      </c>
      <c r="AH14" s="1198">
        <f t="shared" si="2"/>
        <v>163</v>
      </c>
      <c r="AI14" s="1198">
        <f t="shared" si="2"/>
        <v>0</v>
      </c>
      <c r="AJ14" s="1198">
        <f t="shared" si="2"/>
        <v>0</v>
      </c>
      <c r="AK14" s="1198">
        <f t="shared" si="2"/>
        <v>0</v>
      </c>
      <c r="AL14" s="1198">
        <f t="shared" si="2"/>
        <v>0</v>
      </c>
      <c r="AM14" s="1198">
        <f t="shared" si="2"/>
        <v>2909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214</v>
      </c>
      <c r="BD14" s="1198">
        <f t="shared" si="2"/>
        <v>222</v>
      </c>
      <c r="BE14" s="1198">
        <f t="shared" si="2"/>
        <v>0</v>
      </c>
      <c r="BF14" s="1198">
        <f t="shared" si="2"/>
        <v>0</v>
      </c>
      <c r="BG14" s="1198">
        <f>IF(ISNUMBER(Datos!K14/Datos!J14),Datos!K14/Datos!J14," - ")</f>
        <v>0.75389408099688471</v>
      </c>
      <c r="BH14" s="1202">
        <f>IF(ISNUMBER(((Datos!L14/Datos!K14)*11)/factor_trimestre),((Datos!L14/Datos!K14)*11)/factor_trimestre," - ")</f>
        <v>9.1859504132231411</v>
      </c>
      <c r="BI14" s="1198">
        <f>IF(ISNUMBER('Resol  Asuntos'!D14/NºAsuntos!G14),'Resol  Asuntos'!D14/NºAsuntos!G14," - ")</f>
        <v>0.26550868486352358</v>
      </c>
      <c r="BJ14" s="1198" t="str">
        <f>IF(ISNUMBER(Datos!CI14/Datos!CJ14),Datos!CI14/Datos!CJ14," - ")</f>
        <v xml:space="preserve"> - </v>
      </c>
      <c r="BK14" s="1198">
        <f>SUBTOTAL(9,BK8:BK13)</f>
        <v>0</v>
      </c>
      <c r="BL14" s="1198">
        <f>IF(ISNUMBER((I14-AB14+L14)/(F14)),(I14-AB14+L14)/(F14)," - ")</f>
        <v>-0.16666666666666666</v>
      </c>
      <c r="BM14" s="1203">
        <f>SUBTOTAL(9,BM9:BM13)</f>
        <v>0.16452680878552972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888</v>
      </c>
      <c r="G17" s="743">
        <f>IF(ISNUMBER(IF(D_I="SI",Datos!I17,Datos!I17+Datos!AC17)),IF(D_I="SI",Datos!I17,Datos!I17+Datos!AC17)," - ")</f>
        <v>875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688</v>
      </c>
      <c r="AC17" s="240">
        <f>IF(ISNUMBER(Datos!Q17),Datos!Q17," - ")</f>
        <v>26</v>
      </c>
      <c r="AD17" s="374"/>
      <c r="AE17" s="562"/>
      <c r="AF17" s="741">
        <f>IF(ISNUMBER(IF(D_I="SI",Datos!L17,Datos!L17+Datos!AF17)),IF(D_I="SI",Datos!L17,Datos!L17+Datos!AF17)," - ")</f>
        <v>954</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0.91246684350132623</v>
      </c>
      <c r="BH17" s="764">
        <f>IF(ISNUMBER(((IF(D_I="SI",Datos!L17/Datos!K17,(Datos!L17+Datos!AF17)/(Datos!K17+Datos!AE17)))*11)/factor_trimestre),((IF(D_I="SI",Datos!L17/Datos!K17,(Datos!L17+Datos!AF17)/(Datos!K17+Datos!AE17)))*11)/factor_trimestre," - ")</f>
        <v>4.1598837209302326</v>
      </c>
      <c r="BI17" s="266">
        <f>IF(ISNUMBER('Resol  Asuntos'!D17/NºAsuntos!G17),'Resol  Asuntos'!D17/NºAsuntos!G17," - ")</f>
        <v>0.11046511627906977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1.0810810810810811</v>
      </c>
      <c r="BH18" s="764">
        <f>IF(ISNUMBER(((IF(D_I="SI",Datos!L18/Datos!K18,(Datos!L18+Datos!AF18)/(Datos!K18+Datos!AE18)))*11)/factor_trimestre),((IF(D_I="SI",Datos!L18/Datos!K18,(Datos!L18+Datos!AF18)/(Datos!K18+Datos!AE18)))*11)/factor_trimestre," - ")</f>
        <v>3.0749999999999997</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888</v>
      </c>
      <c r="G23" s="1197">
        <f>SUBTOTAL(9,G16:G22)</f>
        <v>919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728</v>
      </c>
      <c r="AC23" s="1198">
        <f t="shared" si="5"/>
        <v>26</v>
      </c>
      <c r="AD23" s="1198">
        <f t="shared" si="5"/>
        <v>0</v>
      </c>
      <c r="AE23" s="1198">
        <f t="shared" si="5"/>
        <v>0</v>
      </c>
      <c r="AF23" s="1198">
        <f t="shared" si="5"/>
        <v>995</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v>
      </c>
      <c r="BD23" s="1198">
        <f t="shared" si="5"/>
        <v>401</v>
      </c>
      <c r="BE23" s="1198">
        <f t="shared" si="5"/>
        <v>0</v>
      </c>
      <c r="BF23" s="1198">
        <f t="shared" si="5"/>
        <v>0</v>
      </c>
      <c r="BG23" s="1198">
        <f>IF(ISNUMBER(Datos!K23/Datos!J23),Datos!K23/Datos!J23," - ")</f>
        <v>0.92035398230088494</v>
      </c>
      <c r="BH23" s="1202">
        <f>IF(ISNUMBER(((Datos!L23/Datos!K23)*11)/factor_trimestre),((Datos!L23/Datos!K23)*11)/factor_trimestre," - ")</f>
        <v>4.1002747252747254</v>
      </c>
      <c r="BI23" s="1198">
        <f>SUBTOTAL(9,BI16:BI22)</f>
        <v>0.21046511627906977</v>
      </c>
      <c r="BJ23" s="1198">
        <f>SUBTOTAL(9,BJ16:BJ22)</f>
        <v>0</v>
      </c>
      <c r="BK23" s="1198">
        <f>SUBTOTAL(9,BK16:BK22)</f>
        <v>0</v>
      </c>
      <c r="BL23" s="1198">
        <f>IF(ISNUMBER((I23-AB23+L23)/(F23)),(I23-AB23+L23)/(F23)," - ")</f>
        <v>-0.81981981981981977</v>
      </c>
      <c r="BM23" s="1205">
        <f>IF(ISNUMBER((Datos!P23-Datos!Q23)/(Datos!R23-Datos!P23+Datos!Q23)),(Datos!P23-Datos!Q23)/(Datos!R23-Datos!P23+Datos!Q23)," - ")</f>
        <v>-0.13829787234042554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900</v>
      </c>
      <c r="G31" s="1117">
        <f t="shared" si="18"/>
        <v>931</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240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730</v>
      </c>
      <c r="AC31" s="1118">
        <f t="shared" si="19"/>
        <v>105</v>
      </c>
      <c r="AD31" s="1118">
        <f t="shared" si="19"/>
        <v>0</v>
      </c>
      <c r="AE31" s="1118">
        <f t="shared" si="19"/>
        <v>0</v>
      </c>
      <c r="AF31" s="1125">
        <f t="shared" si="19"/>
        <v>1008</v>
      </c>
      <c r="AG31" s="1125">
        <f t="shared" si="19"/>
        <v>0</v>
      </c>
      <c r="AH31" s="1125">
        <f t="shared" si="19"/>
        <v>163</v>
      </c>
      <c r="AI31" s="1125">
        <f t="shared" si="19"/>
        <v>0</v>
      </c>
      <c r="AJ31" s="1118">
        <f t="shared" si="19"/>
        <v>0</v>
      </c>
      <c r="AK31" s="1125">
        <f t="shared" si="19"/>
        <v>0</v>
      </c>
      <c r="AL31" s="1125">
        <f t="shared" si="19"/>
        <v>0</v>
      </c>
      <c r="AM31" s="1125">
        <f t="shared" si="19"/>
        <v>2990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294</v>
      </c>
      <c r="BD31" s="1117">
        <f t="shared" si="19"/>
        <v>623</v>
      </c>
      <c r="BE31" s="1117">
        <f t="shared" si="19"/>
        <v>0</v>
      </c>
      <c r="BF31" s="1127">
        <f t="shared" si="19"/>
        <v>0</v>
      </c>
      <c r="BG31" s="1223">
        <f>IF(ISNUMBER(Datos!K31/Datos!J31),Datos!K31/Datos!J31," - ")</f>
        <v>0.82896237172177878</v>
      </c>
      <c r="BH31" s="1223">
        <f>IF(ISNUMBER(((Datos!L31/Datos!K31)*11)/factor_trimestre),((Datos!L31/Datos!K31)*11)/factor_trimestre," - ")</f>
        <v>6.6396148555708399</v>
      </c>
      <c r="BI31" s="1103">
        <f>IF(ISNUMBER(Datos!J31/Datos!I31),Datos!J31/Datos!I31," - ")</f>
        <v>0.60461909686315063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-0.81111111111111112</v>
      </c>
      <c r="BM31" s="1188">
        <f>IF(ISNUMBER((Datos!P31-Datos!Q31+R31)/(Datos!R31-Datos!P31+Datos!Q31-R31)),(Datos!P31-Datos!Q31+R31)/(Datos!R31-Datos!P31+Datos!Q31-R31)," - ")</f>
        <v>4.7285464098073555E-2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455.49445660732249</v>
      </c>
      <c r="G33" s="674">
        <f>IF(ISNUMBER(STDEV(G8:G30)),STDEV(G8:G30),"-")</f>
        <v>431.49314401660354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341.66789779104562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92.689959388428747</v>
      </c>
      <c r="BD33" s="673"/>
      <c r="BE33" s="673">
        <f>IF(ISNUMBER(STDEV(BE8:BE30)),STDEV(BE8:BE30),"-")</f>
        <v>0</v>
      </c>
      <c r="BF33" s="678">
        <f>IF(ISNUMBER(STDEV(BF8:BF30)),STDEV(BF8:BF30),"-")</f>
        <v>0</v>
      </c>
      <c r="BG33" s="1052">
        <f>IF(ISNUMBER(STDEV(BG8:BG30)),STDEV(BG8:BG30),"-")</f>
        <v>0.15055526576205502</v>
      </c>
      <c r="BH33" s="1058">
        <f>IF(ISNUMBER(STDEV(BH8:BH30)),STDEV(BH8:BH30),"-")</f>
        <v>6.1395245801103959</v>
      </c>
      <c r="BI33" s="273">
        <f>IF(ISNUMBER(STDEV(BI8:BI30)),STDEV(BI8:BI30),"-")</f>
        <v>7.9986190443751853E-2</v>
      </c>
      <c r="BJ33" s="244" t="str">
        <f>IF(ISNUMBER(BL33/BM33),BL33/BM33," - ")</f>
        <v xml:space="preserve"> - </v>
      </c>
      <c r="BK33" s="709"/>
      <c r="BL33" s="681">
        <f>IF(ISNUMBER(STDEV(BL8:BL30)),STDEV(BL8:BL30),"-")</f>
        <v>0.46184902374797021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Abdob/RyL4LsfIHoYM+gQNCq1bBYcRUEbLETZuWrB6F76erRHDgmSisUK9F/Q95yCxTFBTQbTn/zoVIpWaTnw==" saltValue="bXwUiEybPldfC7rIphUJ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BETANZOS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2899</v>
      </c>
      <c r="AF12" s="693" t="str">
        <f>IF(ISNUMBER(Datos!BV12),Datos!BV12," - ")</f>
        <v xml:space="preserve"> - </v>
      </c>
      <c r="AG12" s="552" t="str">
        <f>IF(ISNUMBER(Datos!DV12),Datos!DV12," - ")</f>
        <v xml:space="preserve"> - </v>
      </c>
      <c r="AH12" s="553"/>
      <c r="AI12" s="554"/>
      <c r="AJ12" s="552">
        <f>IF(ISNUMBER(Datos!M12),Datos!M12," - ")</f>
        <v>213</v>
      </c>
      <c r="AK12" s="693">
        <f>IF(ISNUMBER(Datos!N12),Datos!N12," - ")</f>
        <v>221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8.8544776119402986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5.3415697674418602E-2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227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79</v>
      </c>
      <c r="AA14" s="1199">
        <f t="shared" si="3"/>
        <v>13</v>
      </c>
      <c r="AB14" s="1199">
        <f t="shared" si="3"/>
        <v>0</v>
      </c>
      <c r="AC14" s="1199">
        <f t="shared" si="3"/>
        <v>0</v>
      </c>
      <c r="AD14" s="1199">
        <f t="shared" si="3"/>
        <v>0</v>
      </c>
      <c r="AE14" s="1199">
        <f t="shared" si="3"/>
        <v>2909</v>
      </c>
      <c r="AF14" s="1211">
        <f t="shared" si="3"/>
        <v>0</v>
      </c>
      <c r="AG14" s="1211">
        <f t="shared" si="3"/>
        <v>0</v>
      </c>
      <c r="AH14" s="1211">
        <f t="shared" si="3"/>
        <v>0</v>
      </c>
      <c r="AI14" s="1211">
        <f t="shared" si="3"/>
        <v>0</v>
      </c>
      <c r="AJ14" s="1211">
        <f t="shared" si="3"/>
        <v>214</v>
      </c>
      <c r="AK14" s="1211">
        <f t="shared" si="3"/>
        <v>222</v>
      </c>
      <c r="AL14" s="1211">
        <f t="shared" si="3"/>
        <v>0</v>
      </c>
      <c r="AM14" s="1211">
        <f t="shared" si="3"/>
        <v>0</v>
      </c>
      <c r="AN14" s="1211">
        <f t="shared" si="3"/>
        <v>0</v>
      </c>
      <c r="AO14" s="1203">
        <f>IF(ISNUMBER(((NºAsuntos!I14/NºAsuntos!G14)*11)/factor_trimestre),((NºAsuntos!I14/NºAsuntos!G14)*11)/factor_trimestre," - ")</f>
        <v>8.8808933002481378</v>
      </c>
      <c r="AP14" s="1213" t="str">
        <f>IF(ISNUMBER(Datos!CI14/Datos!CJ14),Datos!CI14/Datos!CJ14," - ")</f>
        <v xml:space="preserve"> - </v>
      </c>
      <c r="AQ14" s="1236">
        <f t="shared" ref="AQ14:AV14" si="4">SUBTOTAL(9,AQ9:AQ13)</f>
        <v>0</v>
      </c>
      <c r="AR14" s="1236">
        <f t="shared" si="4"/>
        <v>0.16452680878552972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888</v>
      </c>
      <c r="G17" s="552">
        <f>IF(ISNUMBER(IF(D_I="SI",Datos!I17,Datos!I17+Datos!AC17)),IF(D_I="SI",Datos!I17,Datos!I17+Datos!AC17)," - ")</f>
        <v>875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688</v>
      </c>
      <c r="Z17" s="805">
        <f>IF(ISNUMBER(Datos!Q17),Datos!Q17," - ")</f>
        <v>26</v>
      </c>
      <c r="AA17" s="551">
        <f>IF(ISNUMBER(IF(D_I="SI",Datos!L17,Datos!L17+Datos!AF17)),IF(D_I="SI",Datos!L17,Datos!L17+Datos!AF17)," - ")</f>
        <v>954</v>
      </c>
      <c r="AB17" s="549"/>
      <c r="AC17" s="549"/>
      <c r="AD17" s="563"/>
      <c r="AE17" s="563">
        <f>IF(ISNUMBER(Datos!R17),Datos!R17," - ")</f>
        <v>81</v>
      </c>
      <c r="AF17" s="693" t="str">
        <f>IF(ISNUMBER(Datos!BV17),Datos!BV17," - ")</f>
        <v xml:space="preserve"> - </v>
      </c>
      <c r="AG17" s="552"/>
      <c r="AH17" s="553"/>
      <c r="AI17" s="554"/>
      <c r="AJ17" s="552">
        <f>IF(ISNUMBER(Datos!M17),Datos!M17," - ")</f>
        <v>76</v>
      </c>
      <c r="AK17" s="693">
        <f>IF(ISNUMBER(Datos!N17),Datos!N17," - ")</f>
        <v>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4.1598837209302326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3.0749999999999997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888</v>
      </c>
      <c r="G23" s="1197">
        <f>SUBTOTAL(9,G16:G22)</f>
        <v>919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728</v>
      </c>
      <c r="Z23" s="1240">
        <f t="shared" si="6"/>
        <v>26</v>
      </c>
      <c r="AA23" s="1240">
        <f t="shared" si="6"/>
        <v>995</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80</v>
      </c>
      <c r="AK23" s="1240">
        <f t="shared" si="6"/>
        <v>401</v>
      </c>
      <c r="AL23" s="1240">
        <f t="shared" si="6"/>
        <v>0</v>
      </c>
      <c r="AM23" s="1240">
        <f t="shared" si="6"/>
        <v>0</v>
      </c>
      <c r="AN23" s="1240">
        <f t="shared" si="6"/>
        <v>0</v>
      </c>
      <c r="AO23" s="1242">
        <f>IF(ISNUMBER(((NºAsuntos!I23/NºAsuntos!G23)*11)/factor_trimestre),((NºAsuntos!I23/NºAsuntos!G23)*11)/factor_trimestre," - ")</f>
        <v>4.1002747252747254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900</v>
      </c>
      <c r="G31" s="1117">
        <f t="shared" si="12"/>
        <v>931</v>
      </c>
      <c r="H31" s="1118">
        <f t="shared" si="12"/>
        <v>0</v>
      </c>
      <c r="I31" s="1117">
        <f t="shared" si="12"/>
        <v>0</v>
      </c>
      <c r="J31" s="1119">
        <f t="shared" si="12"/>
        <v>0</v>
      </c>
      <c r="K31" s="1117">
        <f t="shared" si="12"/>
        <v>0</v>
      </c>
      <c r="L31" s="1120">
        <f t="shared" si="12"/>
        <v>0</v>
      </c>
      <c r="M31" s="1117">
        <f t="shared" si="12"/>
        <v>0</v>
      </c>
      <c r="N31" s="1118">
        <f t="shared" si="12"/>
        <v>240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730</v>
      </c>
      <c r="Z31" s="1124">
        <f t="shared" si="13"/>
        <v>105</v>
      </c>
      <c r="AA31" s="1125">
        <f t="shared" si="13"/>
        <v>1008</v>
      </c>
      <c r="AB31" s="1125">
        <f t="shared" si="13"/>
        <v>0</v>
      </c>
      <c r="AC31" s="1125">
        <f t="shared" si="13"/>
        <v>0</v>
      </c>
      <c r="AD31" s="1126">
        <f t="shared" si="13"/>
        <v>0</v>
      </c>
      <c r="AE31" s="1126">
        <f t="shared" si="13"/>
        <v>2990</v>
      </c>
      <c r="AF31" s="1127">
        <f t="shared" si="13"/>
        <v>0</v>
      </c>
      <c r="AG31" s="1128">
        <f t="shared" si="13"/>
        <v>0</v>
      </c>
      <c r="AH31" s="1129">
        <f t="shared" si="13"/>
        <v>0</v>
      </c>
      <c r="AI31" s="1127">
        <f t="shared" si="13"/>
        <v>0</v>
      </c>
      <c r="AJ31" s="1117">
        <f t="shared" si="13"/>
        <v>294</v>
      </c>
      <c r="AK31" s="1117">
        <f t="shared" si="13"/>
        <v>623</v>
      </c>
      <c r="AL31" s="1117">
        <f t="shared" si="13"/>
        <v>0</v>
      </c>
      <c r="AM31" s="1130">
        <f t="shared" si="13"/>
        <v>0</v>
      </c>
      <c r="AN31" s="1120">
        <f>IF(ISNUMBER(Datos!K31/Datos!J31),Datos!K31/Datos!J31," - ")</f>
        <v>0.82896237172177878</v>
      </c>
      <c r="AO31" s="1120">
        <f>IF(ISNUMBER(FIND("06",Criterios!A8,1)),(IF(ISNUMBER(((Datos!R31/Datos!Q31)*11)/factor_trimestre),((Datos!R31/Datos!Q31)*11)/factor_trimestre," - ")),(IF(ISNUMBER(((Datos!L31/Datos!K31)*11)/factor_trimestre),((Datos!L31/Datos!K31)*11)/factor_trimestre," - ")))</f>
        <v>6.6396148555708399</v>
      </c>
      <c r="AP31" s="1131" t="str">
        <f>IF(ISNUMBER(Datos!CI31/Datos!CJ31),Datos!CI31/Datos!CJ31," - ")</f>
        <v xml:space="preserve"> - </v>
      </c>
      <c r="AQ31" s="1131">
        <f>IF(OR(ISNUMBER(FIND("01",Criterios!A8,1)),ISNUMBER(FIND("02",Criterios!A8,1)),ISNUMBER(FIND("03",Criterios!A8,1)),ISNUMBER(FIND("04",Criterios!A8,1))),(J31-Y31+K31)/(F31-K31),(I31-Y31+K31)/(F31-K31))</f>
        <v>-0.81111111111111112</v>
      </c>
      <c r="AR31" s="1131">
        <f>IF(ISNUMBER((Datos!P31-Datos!Q31+O31)/(Datos!R31-Datos!P31+Datos!Q31-O31)),(Datos!P31-Datos!Q31+O31)/(Datos!R31-Datos!P31+Datos!Q31-O31)," - ")</f>
        <v>4.7285464098073555E-2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455.49445660732249</v>
      </c>
      <c r="G33" s="674">
        <f>IF(ISNUMBER(STDEV(G8:G30)),STDEV(G8:G30),"-")</f>
        <v>431.49314401660354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92.689959388428747</v>
      </c>
      <c r="AK33" s="276"/>
      <c r="AL33" s="276">
        <f>IF(ISNUMBER(STDEV(AL8:AL30)),STDEV(AL8:AL30),"-")</f>
        <v>0</v>
      </c>
      <c r="AM33" s="278">
        <f>IF(ISNUMBER(STDEV(AM8:AM30)),STDEV(AM8:AM30),"-")</f>
        <v>0</v>
      </c>
      <c r="AN33" s="660">
        <f>IF(ISNUMBER(STDEV(AN8:AN30)),STDEV(AN8:AN30),"-")</f>
        <v>0</v>
      </c>
      <c r="AO33" s="661">
        <f>IF(ISNUMBER(STDEV(AO8:AO30)),STDEV(AO8:AO30),"-")</f>
        <v>6.1304458178184538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gQST0iBLjOVpyr9RjG4EqRQM491Vmwti76qg63Pu12bMo459RrPUSGCR0MJOzUhNusk/05WmD0sjer8AC/aVQ==" saltValue="Bb0q6rJleT74EbU90ufn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3afmZSFvzy51UbhuKYvgdZRtIoFM+XhnY+MOUQvsQWs7LtQO94YfIyboqcYa89u2LdkXMRoApglaOUQOSU/Xw==" saltValue="VkVG4COENaqtNBjToxx/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SifeA+kIvDuf5HCVd+4yNc3PhQYzRq0r93LYi325R4vdethSXGlxI8eAIVujyAEYVhRxPQPqXdnAucBUW4pHw==" saltValue="dpFO1+RJG4DUqmB91GiY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BETANZOS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0.26550868486352358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0.18774299153091958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khfxyrkacIZ4+lZz4qZmuOYnZbhZla+99iXaP2CHyTdx2J2Se+SB5LFfnw4U2CTg1bPBxclR//+L6rEV5ztww==" saltValue="obF6Ih1waKWUmuuxf1Ne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uSkuC8Ry0vEtDJQ2lHV+R0w2yJXiWrotE8JiI+i67soUVxeoPx4rnZvak77fZoBHIxbWaljBETfk6A629G2w==" saltValue="v1GQjxBIN8V2KPwePTOd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BETANZOS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3</v>
      </c>
      <c r="F10" s="452">
        <f>IF(ISNUMBER(E10/B10),E10/B10," - ")</f>
        <v>3</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2114</v>
      </c>
      <c r="D12" s="452">
        <f>IF(ISNUMBER(C12/Datos!BH12),C12/Datos!BH12," - ")</f>
        <v>528.5</v>
      </c>
      <c r="E12" s="451">
        <f>IF(ISNUMBER(IF(J_V="SI",Datos!J12,Datos!J12+Datos!Z12)),IF(J_V="SI",Datos!J12,Datos!J12+Datos!Z12)," - ")</f>
        <v>1059</v>
      </c>
      <c r="F12" s="452">
        <f>IF(ISNUMBER(E12/B12),E12/B12," - ")</f>
        <v>264.75</v>
      </c>
      <c r="G12" s="451">
        <f>IF(ISNUMBER(IF(J_V="SI",Datos!K12,Datos!K12+Datos!AA12)),IF(J_V="SI",Datos!K12,Datos!K12+Datos!AA12)," - ")</f>
        <v>804</v>
      </c>
      <c r="H12" s="452">
        <f>IF(ISNUMBER(G12/B12),G12/B12," - ")</f>
        <v>201</v>
      </c>
      <c r="I12" s="451">
        <f>IF(ISNUMBER(IF(J_V="SI",Datos!L12,Datos!L12+Datos!AB12)),IF(J_V="SI",Datos!L12,Datos!L12+Datos!AB12)," - ")</f>
        <v>2373</v>
      </c>
      <c r="J12" s="452">
        <f>IF(ISNUMBER(I12/B12),I12/B12," - ")</f>
        <v>593.25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2126</v>
      </c>
      <c r="D14" s="1147" t="str">
        <f>IF(ISNUMBER(C14/Datos!BI14),C14/Datos!BI14," - ")</f>
        <v xml:space="preserve"> - </v>
      </c>
      <c r="E14" s="1146">
        <f>SUBTOTAL(9,E8:E13)</f>
        <v>1062</v>
      </c>
      <c r="F14" s="1147">
        <f>IF(ISNUMBER(E14/B14),E14/B14," - ")</f>
        <v>265.5</v>
      </c>
      <c r="G14" s="1146">
        <f>SUBTOTAL(9,G8:G13)</f>
        <v>806</v>
      </c>
      <c r="H14" s="1147">
        <f>IF(ISNUMBER(G14/B14),G14/B14," - ")</f>
        <v>201.5</v>
      </c>
      <c r="I14" s="1146">
        <f>SUBTOTAL(9,I8:I13)</f>
        <v>2386</v>
      </c>
      <c r="J14" s="1147">
        <f>IF(ISNUMBER(I14/B14),I14/B14," - ")</f>
        <v>596.5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875</v>
      </c>
      <c r="D17" s="452">
        <f>IF(ISNUMBER(C17/Datos!BH17),C17/Datos!BH17," - ")</f>
        <v>218.75</v>
      </c>
      <c r="E17" s="451">
        <f>IF(ISNUMBER(IF(D_I="SI",Datos!J17,Datos!J17+Datos!AD17)),IF(D_I="SI",Datos!J17,Datos!J17+Datos!AD17)," - ")</f>
        <v>754</v>
      </c>
      <c r="F17" s="452">
        <f>IF(ISNUMBER(E17/B17),E17/B17," - ")</f>
        <v>188.5</v>
      </c>
      <c r="G17" s="451">
        <f>IF(ISNUMBER(IF(D_I="SI",Datos!K17,Datos!K17+Datos!AE17)),IF(D_I="SI",Datos!K17,Datos!K17+Datos!AE17)," - ")</f>
        <v>688</v>
      </c>
      <c r="H17" s="452">
        <f>IF(ISNUMBER(G17/B17),G17/B17," - ")</f>
        <v>172</v>
      </c>
      <c r="I17" s="451">
        <f>IF(ISNUMBER(IF(D_I="SI",Datos!L17,Datos!L17+Datos!AF17)),IF(D_I="SI",Datos!L17,Datos!L17+Datos!AF17)," - ")</f>
        <v>954</v>
      </c>
      <c r="J17" s="452">
        <f>IF(ISNUMBER(I17/B17),I17/B17," - ")</f>
        <v>238.5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37</v>
      </c>
      <c r="F18" s="452">
        <f>IF(ISNUMBER(E18/B18),E18/B18," - ")</f>
        <v>37</v>
      </c>
      <c r="G18" s="451">
        <f>IF(ISNUMBER(IF(D_I="SI",Datos!K18,Datos!K18+Datos!AE18)),IF(D_I="SI",Datos!K18,Datos!K18+Datos!AE18)," - ")</f>
        <v>40</v>
      </c>
      <c r="H18" s="452">
        <f>IF(ISNUMBER(G18/B18),G18/B18," - ")</f>
        <v>40</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919</v>
      </c>
      <c r="D23" s="1147" t="str">
        <f>IF(ISNUMBER(C23/Datos!BI23),C23/Datos!BI23," - ")</f>
        <v xml:space="preserve"> - </v>
      </c>
      <c r="E23" s="1146">
        <f>SUBTOTAL(9,E15:E22)</f>
        <v>791</v>
      </c>
      <c r="F23" s="1147">
        <f>IF(ISNUMBER(E23/B23),E23/B23," - ")</f>
        <v>197.75</v>
      </c>
      <c r="G23" s="1146">
        <f>SUBTOTAL(9,G15:G22)</f>
        <v>728</v>
      </c>
      <c r="H23" s="1147">
        <f>IF(ISNUMBER(G23/B23),G23/B23," - ")</f>
        <v>182</v>
      </c>
      <c r="I23" s="1146">
        <f>SUBTOTAL(9,I15:I22)</f>
        <v>995</v>
      </c>
      <c r="J23" s="1147">
        <f>IF(ISNUMBER(I23/B23),I23/B23," - ")</f>
        <v>248.75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3045</v>
      </c>
      <c r="D31" s="1085" t="str">
        <f>IF(ISNUMBER(C31/Datos!BI31),C31/Datos!BI31," - ")</f>
        <v xml:space="preserve"> - </v>
      </c>
      <c r="E31" s="1084">
        <f>SUBTOTAL(9,E9:E30)</f>
        <v>1853</v>
      </c>
      <c r="F31" s="1085">
        <f>IF(ISNUMBER(E31/B31),E31/B31," - ")</f>
        <v>463.25</v>
      </c>
      <c r="G31" s="1084">
        <f>SUBTOTAL(9,G9:G30)</f>
        <v>1534</v>
      </c>
      <c r="H31" s="1085">
        <f>IF(ISNUMBER(G31/B31),G31/B31," - ")</f>
        <v>383.5</v>
      </c>
      <c r="I31" s="1084">
        <f>SUBTOTAL(9,I9:I30)</f>
        <v>3381</v>
      </c>
      <c r="J31" s="1085">
        <f>IF(ISNUMBER(I31/B31),I31/B31," - ")</f>
        <v>845.25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cZFxBtbhrajRZn9tKPk/HwCESSVLEHa65+mGo8ulbx2i2q0Ae0uvgGGG5P3vCLdJdxWVTuDou9UTL+XQPZeVA==" saltValue="b7CuoEbQFMQ+J3pqHhkx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BETANZOS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213</v>
      </c>
      <c r="AM12" s="914">
        <f>IF(ISNUMBER(Datos!N12+DatosP!N17),Datos!N12+DatosP!N17," - ")</f>
        <v>221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8.8544776119402986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5.3415697674418602E-2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227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79</v>
      </c>
      <c r="AE14" s="1257">
        <f t="shared" si="1"/>
        <v>0</v>
      </c>
      <c r="AF14" s="1257">
        <f t="shared" si="1"/>
        <v>13</v>
      </c>
      <c r="AG14" s="1257">
        <f t="shared" si="1"/>
        <v>0</v>
      </c>
      <c r="AH14" s="1257">
        <f t="shared" si="1"/>
        <v>2899</v>
      </c>
      <c r="AI14" s="1257">
        <f t="shared" si="1"/>
        <v>0</v>
      </c>
      <c r="AJ14" s="1257">
        <f t="shared" si="1"/>
        <v>0</v>
      </c>
      <c r="AK14" s="1257">
        <f t="shared" si="1"/>
        <v>0</v>
      </c>
      <c r="AL14" s="1257">
        <f t="shared" si="1"/>
        <v>214</v>
      </c>
      <c r="AM14" s="1257">
        <f t="shared" si="1"/>
        <v>222</v>
      </c>
      <c r="AN14" s="1257">
        <f t="shared" si="1"/>
        <v>0</v>
      </c>
      <c r="AO14" s="1257">
        <f t="shared" si="1"/>
        <v>0</v>
      </c>
      <c r="AP14" s="1262">
        <f>IF(ISNUMBER(((Datos!L14/Datos!K14)*11)/factor_trimestre),((Datos!L14/Datos!K14)*11)/factor_trimestre," - ")</f>
        <v>9.1859504132231411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5.3415697674418602E-2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4.1002747252747254</v>
      </c>
      <c r="AQ23" s="1262">
        <f>IF(ISNUMBER(((Datos!M23/Datos!L23)*11)/factor_trimestre),((Datos!M23/Datos!L23)*11)/factor_trimestre," - ")</f>
        <v>0.24120603015075379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-0.13829787234042554</v>
      </c>
      <c r="AW23" s="1265">
        <f>IF(ISNUMBER((Datos!Q23-Datos!R23)/(Datos!S23-Datos!Q23+Datos!R23)),(Datos!Q23-Datos!R23)/(Datos!S23-Datos!Q23+Datos!R23)," - ")</f>
        <v>-6.2713797035347782E-2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227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79</v>
      </c>
      <c r="AE31" s="1284">
        <f t="shared" si="9"/>
        <v>0</v>
      </c>
      <c r="AF31" s="1285">
        <f t="shared" si="9"/>
        <v>13</v>
      </c>
      <c r="AG31" s="1285">
        <f t="shared" si="9"/>
        <v>0</v>
      </c>
      <c r="AH31" s="1285">
        <f t="shared" si="9"/>
        <v>2899</v>
      </c>
      <c r="AI31" s="1285">
        <f t="shared" si="9"/>
        <v>0</v>
      </c>
      <c r="AJ31" s="1286">
        <f t="shared" si="9"/>
        <v>0</v>
      </c>
      <c r="AK31" s="1286">
        <f t="shared" si="9"/>
        <v>0</v>
      </c>
      <c r="AL31" s="1278">
        <f t="shared" si="9"/>
        <v>214</v>
      </c>
      <c r="AM31" s="1278">
        <f t="shared" si="9"/>
        <v>222</v>
      </c>
      <c r="AN31" s="1278">
        <f t="shared" si="9"/>
        <v>0</v>
      </c>
      <c r="AO31" s="1278">
        <f t="shared" si="9"/>
        <v>0</v>
      </c>
      <c r="AP31" s="1278">
        <f>IF(ISNUMBER(((Datos!L31/Datos!K31)*11)/factor_trimestre),((Datos!L31/Datos!K31)*11)/factor_trimestre," - ")</f>
        <v>6.6396148555708399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4.7285464098073555E-2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110.12296157780477</v>
      </c>
      <c r="AM33" s="1006"/>
      <c r="AN33" s="1006">
        <f>IF(ISNUMBER(STDEV(AN8:AN30)),STDEV(AN8:AN30),"-")</f>
        <v>0</v>
      </c>
      <c r="AO33" s="1012">
        <f>IF(ISNUMBER(STDEV(AO8:AO30)),STDEV(AO8:AO30),"-")</f>
        <v>0</v>
      </c>
      <c r="AP33" s="1065">
        <f>IF(ISNUMBER(STDEV(AP8:AP30)),STDEV(AP8:AP30),"-")</f>
        <v>6.4899584027862112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9ItU2mVgQVBNdJJxZxTR0P+YsybIFwUdRNbTM6hBpHQp6JcXHgPbf3Tjq28E+T9p7ZZ5JfRSoOIV8XByKljxg==" saltValue="s5mal5HFoDCh3QcftCyU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BETANZOS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8Hrzfckk7W8cQ4Iqp6vVVtBFI0jMpv/CqEg17mQf/dQ1YnoELn0PPxJ1Ciu3XwE63a8VaEVzCrgs4kWZxNA3Q==" saltValue="9wwOmaAUmk9RxMYqjWQx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BETANZOS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213</v>
      </c>
      <c r="E12" s="452">
        <f t="shared" si="0"/>
        <v>53.25</v>
      </c>
      <c r="F12" s="451">
        <f>IF(ISNUMBER(Datos!N12),Datos!N12," - ")</f>
        <v>221</v>
      </c>
      <c r="G12" s="452">
        <f t="shared" si="1"/>
        <v>55.25</v>
      </c>
      <c r="H12" s="451">
        <f>IF(ISNUMBER(Datos!O12),Datos!O12," - ")</f>
        <v>180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214</v>
      </c>
      <c r="E14" s="1147">
        <f t="shared" si="0"/>
        <v>42.8</v>
      </c>
      <c r="F14" s="1146">
        <f>SUBTOTAL(9,F9:F13)</f>
        <v>222</v>
      </c>
      <c r="G14" s="1147">
        <f t="shared" si="1"/>
        <v>44.4</v>
      </c>
      <c r="H14" s="1146">
        <f>SUBTOTAL(9,H9:H13)</f>
        <v>180</v>
      </c>
      <c r="I14" s="1147">
        <f>IF(ISNUMBER(H14/B14),H14/B14," - ")</f>
        <v>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76</v>
      </c>
      <c r="E17" s="452">
        <f t="shared" si="3"/>
        <v>19</v>
      </c>
      <c r="F17" s="451">
        <f>IF(ISNUMBER(Datos!N17),Datos!N17," - ")</f>
        <v>376</v>
      </c>
      <c r="G17" s="452">
        <f t="shared" si="4"/>
        <v>94</v>
      </c>
      <c r="H17" s="451">
        <f>IF(ISNUMBER(Datos!O17),Datos!O17," - ")</f>
        <v>11</v>
      </c>
      <c r="I17" s="452">
        <f t="shared" si="5"/>
        <v>2.75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80</v>
      </c>
      <c r="E23" s="1147">
        <f t="shared" si="3"/>
        <v>16</v>
      </c>
      <c r="F23" s="1146">
        <f>SUBTOTAL(9,F16:F22)</f>
        <v>401</v>
      </c>
      <c r="G23" s="1147">
        <f t="shared" si="4"/>
        <v>80.2</v>
      </c>
      <c r="H23" s="1146">
        <f>SUBTOTAL(9,H16:H22)</f>
        <v>11</v>
      </c>
      <c r="I23" s="1147">
        <f>IF(ISNUMBER(H23/B23),H23/B23," - ")</f>
        <v>2.2000000000000002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294</v>
      </c>
      <c r="E31" s="1085">
        <f>IF(ISNUMBER(D31/B31),D31/B31," - ")</f>
        <v>73.5</v>
      </c>
      <c r="F31" s="1084">
        <f>SUBTOTAL(9,F8:F30)</f>
        <v>623</v>
      </c>
      <c r="G31" s="1085">
        <f>IF(ISNUMBER(F31/B31),F31/B31," - ")</f>
        <v>155.75</v>
      </c>
      <c r="H31" s="1084">
        <f>SUBTOTAL(9,H8:H30)</f>
        <v>191</v>
      </c>
      <c r="I31" s="1085">
        <f>IF(ISNUMBER(H31/B31),H31/B31," - ")</f>
        <v>47.75</v>
      </c>
    </row>
    <row r="34" spans="1:1">
      <c r="A34" s="439" t="str">
        <f>Criterios!A4</f>
        <v>Fecha Informe: 06 may. 2023</v>
      </c>
    </row>
    <row r="39" spans="1:1">
      <c r="A39" s="462"/>
    </row>
  </sheetData>
  <sheetProtection algorithmName="SHA-512" hashValue="f8QKXplye7eg6o7cbo419forKvhcd55d23a6HsFIxd7CQzYyYuQHHJwRCPvoRpufJ4cCtG6M9WPkXxl9zrhLxg==" saltValue="FfdJuv2VQvh7Y3x+cGD2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BETANZOS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226</v>
      </c>
      <c r="C12" s="489">
        <f>IF(ISNUMBER(Datos!Q12),Datos!Q12," - ")</f>
        <v>79</v>
      </c>
      <c r="D12" s="456">
        <f>IF(ISNUMBER(Datos!R12),Datos!R12," - ")</f>
        <v>2899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227</v>
      </c>
      <c r="C14" s="1150">
        <f>SUBTOTAL(9,C9:C13)</f>
        <v>79</v>
      </c>
      <c r="D14" s="1148">
        <f>SUBTOTAL(9,D9:D13)</f>
        <v>2909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26</v>
      </c>
      <c r="D17" s="456">
        <f>IF(ISNUMBER(Datos!R17),Datos!R17," - ")</f>
        <v>81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26</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240</v>
      </c>
      <c r="C31" s="1089">
        <f>SUBTOTAL(9,C8:C30)</f>
        <v>105</v>
      </c>
      <c r="D31" s="1090">
        <f>SUBTOTAL(9,D8:D30)</f>
        <v>2990</v>
      </c>
    </row>
    <row r="32" spans="1:4" ht="7.5" customHeight="1"/>
    <row r="33" spans="1:1" ht="6" customHeight="1"/>
    <row r="34" spans="1:1">
      <c r="A34" s="439" t="str">
        <f>Criterios!A4</f>
        <v>Fecha Informe: 06 may. 2023</v>
      </c>
    </row>
    <row r="39" spans="1:1">
      <c r="A39" s="462"/>
    </row>
  </sheetData>
  <sheetProtection algorithmName="SHA-512" hashValue="hdF5x04kY2JHVZQNWXrcVAWUO3K+q4CtZ2adyMJxYs6c5mv+BL/qxaCoGvrdS2w7wRSOj/43TDvj30fcaiJ2fg==" saltValue="k3zUJf3tLM3eBFmoCLFk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BETANZOS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-0.7142857142857143</v>
      </c>
      <c r="E10" s="515">
        <f>IF(ISNUMBER((Datos!L10-Datos!V10)/Datos!V10),(Datos!L10-Datos!V10)/Datos!V10," - ")</f>
        <v>-7.1428571428571425E-2</v>
      </c>
      <c r="F10" s="515">
        <f>IF(ISNUMBER((Datos!M10-Datos!W10)/Datos!W10),(Datos!M10-Datos!W10)/Datos!W10," - ")</f>
        <v>-0.83333333333333337</v>
      </c>
      <c r="G10" s="516">
        <f>IF(ISNUMBER((Datos!N10-Datos!X10)/Datos!X10),(Datos!N10-Datos!X10)/Datos!X10," - ")</f>
        <v>0</v>
      </c>
      <c r="H10" s="514">
        <f>IF(ISNUMBER(((NºAsuntos!G10/NºAsuntos!E10)-Datos!BD10)/Datos!BD10),((NºAsuntos!G10/NºAsuntos!E10)-Datos!BD10)/Datos!BD10," - ")</f>
        <v>-0.1428571428571429</v>
      </c>
      <c r="I10" s="515">
        <f>IF(ISNUMBER(((NºAsuntos!I10/NºAsuntos!G10)-Datos!BE10)/Datos!BE10),((NºAsuntos!I10/NºAsuntos!G10)-Datos!BE10)/Datos!BE10," - ")</f>
        <v>2.25</v>
      </c>
      <c r="J10" s="521">
        <f>IF(ISNUMBER((('Resol  Asuntos'!D10/NºAsuntos!G10)-Datos!BF10)/Datos!BF10),(('Resol  Asuntos'!D10/NºAsuntos!G10)-Datos!BF10)/Datos!BF10," - ")</f>
        <v>-0.41666666666666663</v>
      </c>
      <c r="K10" s="522">
        <f>IF(ISNUMBER((((NºAsuntos!C10+NºAsuntos!E10)/NºAsuntos!G10)-Datos!BG10)/Datos!BG10),(((NºAsuntos!C10+NºAsuntos!E10)/NºAsuntos!G10)-Datos!BG10)/Datos!BG10," - ")</f>
        <v>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0.20387243735763097</v>
      </c>
      <c r="C12" s="515">
        <f>IF(ISNUMBER(
   IF(J_V="SI",(Datos!J12-Datos!T12)/Datos!T12,(Datos!J12+Datos!Z12-(Datos!T12+Datos!AH12))/(Datos!T12+Datos!AH12))
     ),IF(J_V="SI",(Datos!J12-Datos!T12)/Datos!T12,(Datos!J12+Datos!Z12-(Datos!T12+Datos!AH12))/(Datos!T12+Datos!AH12))," - ")</f>
        <v>0.49576271186440679</v>
      </c>
      <c r="D12" s="515">
        <f>IF(ISNUMBER(
   IF(J_V="SI",(Datos!K12-Datos!U12)/Datos!U12,(Datos!K12+Datos!AA12-(Datos!U12+Datos!AI12))/(Datos!U12+Datos!AI12))
     ),IF(J_V="SI",(Datos!K12-Datos!U12)/Datos!U12,(Datos!K12+Datos!AA12-(Datos!U12+Datos!AI12))/(Datos!U12+Datos!AI12))," - ")</f>
        <v>0.1276297335203366</v>
      </c>
      <c r="E12" s="515">
        <f>IF(ISNUMBER(
   IF(J_V="SI",(Datos!L12-Datos!V12)/Datos!V12,(Datos!L12+Datos!AB12-(Datos!V12+Datos!AJ12))/(Datos!V12+Datos!AJ12))
     ),IF(J_V="SI",(Datos!L12-Datos!V12)/Datos!V12,(Datos!L12+Datos!AB12-(Datos!V12+Datos!AJ12))/(Datos!V12+Datos!AJ12))," - ")</f>
        <v>0.35522558537978299</v>
      </c>
      <c r="F12" s="515">
        <f>IF(ISNUMBER((Datos!M12-Datos!W12)/Datos!W12),(Datos!M12-Datos!W12)/Datos!W12," - ")</f>
        <v>0.31481481481481483</v>
      </c>
      <c r="G12" s="516">
        <f>IF(ISNUMBER((Datos!N12-Datos!X12)/Datos!X12),(Datos!N12-Datos!X12)/Datos!X12," - ")</f>
        <v>8.8669950738916259E-2</v>
      </c>
      <c r="H12" s="514">
        <f>IF(ISNUMBER(((NºAsuntos!G12/NºAsuntos!E12)-Datos!BD12)/Datos!BD12),((NºAsuntos!G12/NºAsuntos!E12)-Datos!BD12)/Datos!BD12," - ")</f>
        <v>-0.24611723198073809</v>
      </c>
      <c r="I12" s="515">
        <f>IF(ISNUMBER(((NºAsuntos!I12/NºAsuntos!G12)-Datos!BE12)/Datos!BE12),((NºAsuntos!I12/NºAsuntos!G12)-Datos!BE12)/Datos!BE12," - ")</f>
        <v>0.20183562484550413</v>
      </c>
      <c r="J12" s="521">
        <f>IF(ISNUMBER((('Resol  Asuntos'!D12/NºAsuntos!G12)-Datos!BF12)/Datos!BF12),(('Resol  Asuntos'!D12/NºAsuntos!G12)-Datos!BF12)/Datos!BF12," - ")</f>
        <v>-6.9498566281891147E-2</v>
      </c>
      <c r="K12" s="522">
        <f>IF(ISNUMBER((((NºAsuntos!C12+NºAsuntos!E12)/NºAsuntos!G12)-Datos!BG12)/Datos!BG12),(((NºAsuntos!C12+NºAsuntos!E12)/NºAsuntos!G12)-Datos!BG12)/Datos!BG12," - ")</f>
        <v>0.14199144294759969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0.20248868778280543</v>
      </c>
      <c r="C14" s="1152">
        <f>IF(ISNUMBER(
   IF(J_V="SI",(Datos!J14-Datos!T14)/Datos!T14,(Datos!J14+Datos!Z14-(Datos!T14+Datos!AH14))/(Datos!T14+Datos!AH14))
     ),IF(J_V="SI",(Datos!J14-Datos!T14)/Datos!T14,(Datos!J14+Datos!Z14-(Datos!T14+Datos!AH14))/(Datos!T14+Datos!AH14))," - ")</f>
        <v>0.48117154811715479</v>
      </c>
      <c r="D14" s="1152">
        <f>IF(ISNUMBER(
   IF(J_V="SI",(Datos!K14-Datos!U14)/Datos!U14,(Datos!K14+Datos!AA14-(Datos!U14+Datos!AI14))/(Datos!U14+Datos!AI14))
     ),IF(J_V="SI",(Datos!K14-Datos!U14)/Datos!U14,(Datos!K14+Datos!AA14-(Datos!U14+Datos!AI14))/(Datos!U14+Datos!AI14))," - ")</f>
        <v>0.11944444444444445</v>
      </c>
      <c r="E14" s="1152">
        <f>IF(ISNUMBER(
   IF(J_V="SI",(Datos!L14-Datos!V14)/Datos!V14,(Datos!L14+Datos!AB14-(Datos!V14+Datos!AJ14))/(Datos!V14+Datos!AJ14))
     ),IF(J_V="SI",(Datos!L14-Datos!V14)/Datos!V14,(Datos!L14+Datos!AB14-(Datos!V14+Datos!AJ14))/(Datos!V14+Datos!AJ14))," - ")</f>
        <v>0.35184135977337111</v>
      </c>
      <c r="F14" s="1153">
        <f>IF(ISNUMBER((Datos!M14-Datos!W14)/Datos!W14),(Datos!M14-Datos!W14)/Datos!W14," - ")</f>
        <v>0.27380952380952384</v>
      </c>
      <c r="G14" s="1154">
        <f>IF(ISNUMBER((Datos!N14-Datos!X14)/Datos!X14),(Datos!N14-Datos!X14)/Datos!X14," - ")</f>
        <v>8.8235294117647065E-2</v>
      </c>
      <c r="H14" s="1154">
        <f>IF(ISNUMBER(((NºAsuntos!G14/NºAsuntos!E14)-Datos!BD14)/Datos!BD14),((NºAsuntos!G14/NºAsuntos!E14)-Datos!BD14)/Datos!BD14," - ")</f>
        <v>-0.24421688637790326</v>
      </c>
      <c r="I14" s="1154">
        <f>IF(ISNUMBER(((NºAsuntos!I14/NºAsuntos!G14)-Datos!BE14)/Datos!BE14),((NºAsuntos!I14/NºAsuntos!G14)-Datos!BE14)/Datos!BE14," - ")</f>
        <v>0.2076002221300586</v>
      </c>
      <c r="J14" s="1154">
        <f>IF(ISNUMBER((('Resol  Asuntos'!D14/NºAsuntos!G14)-Datos!BF14)/Datos!BF14),(('Resol  Asuntos'!D14/NºAsuntos!G14)-Datos!BF14)/Datos!BF14," - ")</f>
        <v>-8.5328932527574342E-2</v>
      </c>
      <c r="K14" s="1154">
        <f>IF(ISNUMBER((((NºAsuntos!C14+NºAsuntos!E14)/NºAsuntos!G14)-Datos!BG14)/Datos!BG14),(((NºAsuntos!C14+NºAsuntos!E14)/NºAsuntos!G14)-Datos!BG14)/Datos!BG14," - ")</f>
        <v>0.1460125517372223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0.13636363636363635</v>
      </c>
      <c r="C17" s="515">
        <f>IF(ISNUMBER(
   IF(D_I="SI",(Datos!J17-Datos!T17)/Datos!T17,(Datos!J17+Datos!AD17-(Datos!T17+Datos!AL17))/(Datos!T17+Datos!AL17))
     ),IF(D_I="SI",(Datos!J17-Datos!T17)/Datos!T17,(Datos!J17+Datos!AD17-(Datos!T17+Datos!AL17))/(Datos!T17+Datos!AL17))," - ")</f>
        <v>0.17445482866043613</v>
      </c>
      <c r="D17" s="515">
        <f>IF(ISNUMBER(
   IF(D_I="SI",(Datos!K17-Datos!U17)/Datos!U17,(Datos!K17+Datos!AE17-(Datos!U17+Datos!AM17))/(Datos!U17+Datos!AM17))
     ),IF(D_I="SI",(Datos!K17-Datos!U17)/Datos!U17,(Datos!K17+Datos!AE17-(Datos!U17+Datos!AM17))/(Datos!U17+Datos!AM17))," - ")</f>
        <v>4.3795620437956208E-3</v>
      </c>
      <c r="E17" s="515">
        <f>IF(ISNUMBER(
   IF(D_I="SI",(Datos!L17-Datos!V17)/Datos!V17,(Datos!L17+Datos!AF17-(Datos!V17+Datos!AN17))/(Datos!V17+Datos!AN17))
     ),IF(D_I="SI",(Datos!L17-Datos!V17)/Datos!V17,(Datos!L17+Datos!AF17-(Datos!V17+Datos!AN17))/(Datos!V17+Datos!AN17))," - ")</f>
        <v>0.29093369418132614</v>
      </c>
      <c r="F17" s="515">
        <f>IF(ISNUMBER((Datos!M17-Datos!W17)/Datos!W17),(Datos!M17-Datos!W17)/Datos!W17," - ")</f>
        <v>-0.18279569892473119</v>
      </c>
      <c r="G17" s="516">
        <f>IF(ISNUMBER((Datos!N17-Datos!X17)/Datos!X17),(Datos!N17-Datos!X17)/Datos!X17," - ")</f>
        <v>-9.1787439613526575E-2</v>
      </c>
      <c r="H17" s="514">
        <f>IF(ISNUMBER(((NºAsuntos!G17/NºAsuntos!E17)-Datos!BD17)/Datos!BD17),((NºAsuntos!G17/NºAsuntos!E17)-Datos!BD17)/Datos!BD17," - ")</f>
        <v>-0.14481209703963299</v>
      </c>
      <c r="I17" s="515">
        <f>IF(ISNUMBER(((NºAsuntos!I17/NºAsuntos!G17)-Datos!BE17)/Datos!BE17),((NºAsuntos!I17/NºAsuntos!G17)-Datos!BE17)/Datos!BE17," - ")</f>
        <v>0.28530462284041908</v>
      </c>
      <c r="J17" s="521">
        <f>IF(ISNUMBER((('Resol  Asuntos'!D17/NºAsuntos!G17)-Datos!BF17)/Datos!BF17),(('Resol  Asuntos'!D17/NºAsuntos!G17)-Datos!BF17)/Datos!BF17," - ")</f>
        <v>-0.18635908977244306</v>
      </c>
      <c r="K17" s="522">
        <f>IF(ISNUMBER((((NºAsuntos!C17+NºAsuntos!E17)/NºAsuntos!G17)-Datos!BG17)/Datos!BG17),(((NºAsuntos!C17+NºAsuntos!E17)/NºAsuntos!G17)-Datos!BG17)/Datos!BG17," - ")</f>
        <v>0.14865212629290472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-0.15384615384615385</v>
      </c>
      <c r="C18" s="515">
        <f>IF(ISNUMBER(
   IF(D_I="SI",(Datos!J18-Datos!T18)/Datos!T18,(Datos!J18+Datos!AD18-(Datos!T18+Datos!AL18))/(Datos!T18+Datos!AL18))
     ),IF(D_I="SI",(Datos!J18-Datos!T18)/Datos!T18,(Datos!J18+Datos!AD18-(Datos!T18+Datos!AL18))/(Datos!T18+Datos!AL18))," - ")</f>
        <v>-0.26</v>
      </c>
      <c r="D18" s="515">
        <f>IF(ISNUMBER(
   IF(D_I="SI",(Datos!K18-Datos!U18)/Datos!U18,(Datos!K18+Datos!AE18-(Datos!U18+Datos!AM18))/(Datos!U18+Datos!AM18))
     ),IF(D_I="SI",(Datos!K18-Datos!U18)/Datos!U18,(Datos!K18+Datos!AE18-(Datos!U18+Datos!AM18))/(Datos!U18+Datos!AM18))," - ")</f>
        <v>-0.27272727272727271</v>
      </c>
      <c r="E18" s="515">
        <f>IF(ISNUMBER(
   IF(D_I="SI",(Datos!L18-Datos!V18)/Datos!V18,(Datos!L18+Datos!AF18-(Datos!V18+Datos!AN18))/(Datos!V18+Datos!AN18))
     ),IF(D_I="SI",(Datos!L18-Datos!V18)/Datos!V18,(Datos!L18+Datos!AF18-(Datos!V18+Datos!AN18))/(Datos!V18+Datos!AN18))," - ")</f>
        <v>-0.1276595744680851</v>
      </c>
      <c r="F18" s="515">
        <f>IF(ISNUMBER((Datos!M18-Datos!W18)/Datos!W18),(Datos!M18-Datos!W18)/Datos!W18," - ")</f>
        <v>-0.5</v>
      </c>
      <c r="G18" s="516">
        <f>IF(ISNUMBER((Datos!N18-Datos!X18)/Datos!X18),(Datos!N18-Datos!X18)/Datos!X18," - ")</f>
        <v>-0.21875</v>
      </c>
      <c r="H18" s="514">
        <f>IF(ISNUMBER(((NºAsuntos!G18/NºAsuntos!E18)-Datos!BD18)/Datos!BD18),((NºAsuntos!G18/NºAsuntos!E18)-Datos!BD18)/Datos!BD18," - ")</f>
        <v>-1.7199017199017223E-2</v>
      </c>
      <c r="I18" s="515">
        <f>IF(ISNUMBER(((NºAsuntos!I18/NºAsuntos!G18)-Datos!BE18)/Datos!BE18),((NºAsuntos!I18/NºAsuntos!G18)-Datos!BE18)/Datos!BE18," - ")</f>
        <v>0.19946808510638295</v>
      </c>
      <c r="J18" s="521">
        <f>IF(ISNUMBER((('Resol  Asuntos'!D18/NºAsuntos!G18)-Datos!BF18)/Datos!BF18),(('Resol  Asuntos'!D18/NºAsuntos!G18)-Datos!BF18)/Datos!BF18," - ")</f>
        <v>-0.31249999999999994</v>
      </c>
      <c r="K18" s="522">
        <f>IF(ISNUMBER((((NºAsuntos!C18+NºAsuntos!E18)/NºAsuntos!G18)-Datos!BG18)/Datos!BG18),(((NºAsuntos!C18+NºAsuntos!E18)/NºAsuntos!G18)-Datos!BG18)/Datos!BG18," - ")</f>
        <v>9.1911764705882332E-2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0.11800486618004866</v>
      </c>
      <c r="C23" s="1152">
        <f>IF(ISNUMBER(
   IF(Criterios!B14="SI",(Datos!J23-Datos!T23)/Datos!T23,(Datos!J23+Datos!AD23-(Datos!T23+Datos!AL23))/(Datos!T23+Datos!AL23))
     ),IF(Criterios!B14="SI",(Datos!J23-Datos!T23)/Datos!T23,(Datos!J23+Datos!AD23-(Datos!T23+Datos!AL23))/(Datos!T23+Datos!AL23))," - ")</f>
        <v>0.1430635838150289</v>
      </c>
      <c r="D23" s="1152">
        <f>IF(ISNUMBER(
   IF(Criterios!B14="SI",(Datos!K23-Datos!U23)/Datos!U23,(Datos!K23+Datos!AE23-(Datos!U23+Datos!AM23))/(Datos!U23+Datos!AM23))
     ),IF(Criterios!B14="SI",(Datos!K23-Datos!U23)/Datos!U23,(Datos!K23+Datos!AE23-(Datos!U23+Datos!AM23))/(Datos!U23+Datos!AM23))," - ")</f>
        <v>-1.6216216216216217E-2</v>
      </c>
      <c r="E23" s="1152">
        <f>IF(ISNUMBER(
   IF(Criterios!B14="SI",(Datos!L23-Datos!V23)/Datos!V23,(Datos!L23+Datos!AF23-(Datos!V23+Datos!AN23))/(Datos!V23+Datos!AN23))
     ),IF(Criterios!B14="SI",(Datos!L23-Datos!V23)/Datos!V23,(Datos!L23+Datos!AF23-(Datos!V23+Datos!AN23))/(Datos!V23+Datos!AN23))," - ")</f>
        <v>0.26590330788804073</v>
      </c>
      <c r="F23" s="1153">
        <f>IF(ISNUMBER((Datos!M23-Datos!W23)/Datos!W23),(Datos!M23-Datos!W23)/Datos!W23," - ")</f>
        <v>-0.20792079207920791</v>
      </c>
      <c r="G23" s="1154">
        <f>IF(ISNUMBER((Datos!N23-Datos!X23)/Datos!X23),(Datos!N23-Datos!X23)/Datos!X23," - ")</f>
        <v>-0.10089686098654709</v>
      </c>
      <c r="H23" s="1154">
        <f>IF(ISNUMBER(((NºAsuntos!G23/NºAsuntos!E23)-Datos!BD23)/Datos!BD23),((NºAsuntos!G23/NºAsuntos!E23)-Datos!BD23)/Datos!BD23," - ")</f>
        <v>-0.13934465438890217</v>
      </c>
      <c r="I23" s="1154">
        <f>IF(ISNUMBER(((NºAsuntos!I23/NºAsuntos!G23)-Datos!BE23)/Datos!BE23),((NºAsuntos!I23/NºAsuntos!G23)-Datos!BE23)/Datos!BE23," - ")</f>
        <v>0.28676984593015126</v>
      </c>
      <c r="J23" s="1154">
        <f>IF(ISNUMBER((('Resol  Asuntos'!D23/NºAsuntos!G23)-Datos!BF23)/Datos!BF23),(('Resol  Asuntos'!D23/NºAsuntos!G23)-Datos!BF23)/Datos!BF23," - ")</f>
        <v>-0.19486454139919485</v>
      </c>
      <c r="K23" s="1154">
        <f>IF(ISNUMBER((((NºAsuntos!C23+NºAsuntos!E23)/NºAsuntos!G23)-Datos!BG23)/Datos!BG23),(((NºAsuntos!C23+NºAsuntos!E23)/NºAsuntos!G23)-Datos!BG23)/Datos!BG23," - ")</f>
        <v>0.14807583433739305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0.17567567567567569</v>
      </c>
      <c r="C31" s="1092">
        <f>IF(ISNUMBER(
   IF(J_V="SI",(Datos!J31-Datos!T31)/Datos!T31,(Datos!J31+Datos!Z31-(Datos!T31+Datos!AH31))/(Datos!T31+Datos!AH31))
     ),IF(J_V="SI",(Datos!J31-Datos!T31)/Datos!T31,(Datos!J31+Datos!Z31-(Datos!T31+Datos!AH31))/(Datos!T31+Datos!AH31))," - ")</f>
        <v>0.31511710432931156</v>
      </c>
      <c r="D31" s="1092">
        <f>IF(ISNUMBER(
   IF(J_V="SI",(Datos!K31-Datos!U31)/Datos!U31,(Datos!K31+Datos!AA31-(Datos!U31+Datos!AI31))/(Datos!U31+Datos!AI31))
     ),IF(J_V="SI",(Datos!K31-Datos!U31)/Datos!U31,(Datos!K31+Datos!AA31-(Datos!U31+Datos!AI31))/(Datos!U31+Datos!AI31))," - ")</f>
        <v>5.0684931506849315E-2</v>
      </c>
      <c r="E31" s="1092">
        <f>IF(ISNUMBER(
   IF(J_V="SI",(Datos!L31-Datos!V31)/Datos!V31,(Datos!L31+Datos!AB31-(Datos!V31+Datos!AJ31))/(Datos!V31+Datos!AJ31))
     ),IF(J_V="SI",(Datos!L31-Datos!V31)/Datos!V31,(Datos!L31+Datos!AB31-(Datos!V31+Datos!AJ31))/(Datos!V31+Datos!AJ31))," - ")</f>
        <v>0.32536260290082319</v>
      </c>
      <c r="F31" s="1093">
        <f>IF(ISNUMBER((Datos!M31-Datos!W31)/Datos!W31),(Datos!M31-Datos!W31)/Datos!W31," - ")</f>
        <v>9.2936802973977689E-2</v>
      </c>
      <c r="G31" s="1094">
        <f>IF(ISNUMBER((Datos!N31-Datos!X31)/Datos!X31),(Datos!N31-Datos!X31)/Datos!X31," - ")</f>
        <v>-4.1538461538461538E-2</v>
      </c>
      <c r="H31" s="1095">
        <f>IF(ISNUMBER((Tasas!B31-Datos!BD31)/Datos!BD31),(Tasas!B31-Datos!BD31)/Datos!BD31," - ")</f>
        <v>-0.20107119887039901</v>
      </c>
      <c r="I31" s="1096">
        <f>IF(ISNUMBER((Tasas!C31-Datos!BE31)/Datos!BE31),(Tasas!C31-Datos!BE31)/Datos!BE31," - ")</f>
        <v>0.2614272491754901</v>
      </c>
      <c r="J31" s="1097">
        <f>IF(ISNUMBER((Tasas!D31-Datos!BF31)/Datos!BF31),(Tasas!D31-Datos!BF31)/Datos!BF31," - ")</f>
        <v>-9.7362997855069994E-2</v>
      </c>
      <c r="K31" s="1097">
        <f>IF(ISNUMBER((Tasas!E31-Datos!BG31)/Datos!BG31),(Tasas!E31-Datos!BG31)/Datos!BG31," - ")</f>
        <v>0.16572167813791783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LUiDeOOu4kXD2X5TAKN0689xlUYXKhcQQmblROcOM3Dip3UGT8AUOS4mplr7BHBJzODUgIR/LVl+qIcA+ijQ==" saltValue="S+wDkHN03NyKEVoTuh9e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BETANZOS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6.5</v>
      </c>
      <c r="D10" s="499">
        <f>IF(ISNUMBER('Resol  Asuntos'!D10/NºAsuntos!G10),'Resol  Asuntos'!D10/NºAsuntos!G10," - ")</f>
        <v>0.5</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0.75920679886685549</v>
      </c>
      <c r="C12" s="498">
        <f>IF(ISNUMBER(NºAsuntos!I12/NºAsuntos!G12),NºAsuntos!I12/NºAsuntos!G12," - ")</f>
        <v>2.9514925373134329</v>
      </c>
      <c r="D12" s="499">
        <f>IF(ISNUMBER('Resol  Asuntos'!D12/NºAsuntos!G12),'Resol  Asuntos'!D12/NºAsuntos!G12," - ")</f>
        <v>0.26492537313432835</v>
      </c>
      <c r="E12" s="500">
        <f>IF(ISNUMBER((NºAsuntos!C12+NºAsuntos!E12)/NºAsuntos!G12),(NºAsuntos!C12+NºAsuntos!E12)/NºAsuntos!G12," - ")</f>
        <v>3.9465174129353233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0.75894538606403017</v>
      </c>
      <c r="C14" s="1156">
        <f>IF(ISNUMBER(NºAsuntos!I14/NºAsuntos!G14),NºAsuntos!I14/NºAsuntos!G14," - ")</f>
        <v>2.9602977667493797</v>
      </c>
      <c r="D14" s="1157">
        <f>IF(ISNUMBER('Resol  Asuntos'!D14/NºAsuntos!G14),'Resol  Asuntos'!D14/NºAsuntos!G14," - ")</f>
        <v>0.26550868486352358</v>
      </c>
      <c r="E14" s="1158">
        <f>IF(ISNUMBER((NºAsuntos!C14+NºAsuntos!E14)/NºAsuntos!G14),(NºAsuntos!C14+NºAsuntos!E14)/NºAsuntos!G14," - ")</f>
        <v>3.9553349875930519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0.91246684350132623</v>
      </c>
      <c r="C17" s="498">
        <f>IF(ISNUMBER(NºAsuntos!I17/NºAsuntos!G17),NºAsuntos!I17/NºAsuntos!G17," - ")</f>
        <v>1.3866279069767442</v>
      </c>
      <c r="D17" s="499">
        <f>IF(ISNUMBER('Resol  Asuntos'!D17/NºAsuntos!G17),'Resol  Asuntos'!D17/NºAsuntos!G17," - ")</f>
        <v>0.11046511627906977</v>
      </c>
      <c r="E17" s="500">
        <f>IF(ISNUMBER((NºAsuntos!C17+NºAsuntos!E17)/NºAsuntos!G17),(NºAsuntos!C17+NºAsuntos!E17)/NºAsuntos!G17," - ")</f>
        <v>2.3677325581395348</v>
      </c>
      <c r="G17" s="523"/>
    </row>
    <row r="18" spans="1:7">
      <c r="A18" s="450" t="str">
        <f>Datos!A18</f>
        <v>Jdos. Violencia contra la mujer</v>
      </c>
      <c r="B18" s="497">
        <f>IF(ISNUMBER(NºAsuntos!G18/NºAsuntos!E18),NºAsuntos!G18/NºAsuntos!E18," - ")</f>
        <v>1.0810810810810811</v>
      </c>
      <c r="C18" s="498">
        <f>IF(ISNUMBER(NºAsuntos!I18/NºAsuntos!G18),NºAsuntos!I18/NºAsuntos!G18," - ")</f>
        <v>1.0249999999999999</v>
      </c>
      <c r="D18" s="499">
        <f>IF(ISNUMBER('Resol  Asuntos'!D18/NºAsuntos!G18),'Resol  Asuntos'!D18/NºAsuntos!G18," - ")</f>
        <v>0.1</v>
      </c>
      <c r="E18" s="500">
        <f>IF(ISNUMBER((NºAsuntos!C18+NºAsuntos!E18)/NºAsuntos!G18),(NºAsuntos!C18+NºAsuntos!E18)/NºAsuntos!G18," - ")</f>
        <v>2.0249999999999999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0.92035398230088494</v>
      </c>
      <c r="C23" s="1156">
        <f>IF(ISNUMBER(NºAsuntos!I23/NºAsuntos!G23),NºAsuntos!I23/NºAsuntos!G23," - ")</f>
        <v>1.3667582417582418</v>
      </c>
      <c r="D23" s="1159">
        <f>IF(ISNUMBER('Resol  Asuntos'!D23/NºAsuntos!G23),'Resol  Asuntos'!D23/NºAsuntos!G23," - ")</f>
        <v>0.10989010989010989</v>
      </c>
      <c r="E23" s="1158">
        <f>IF(ISNUMBER((NºAsuntos!C23+NºAsuntos!E23)/NºAsuntos!G23),(NºAsuntos!C23+NºAsuntos!E23)/NºAsuntos!G23," - ")</f>
        <v>2.348901098901099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0.82784673502428496</v>
      </c>
      <c r="C31" s="1099">
        <f>IF(ISNUMBER(NºAsuntos!I31/NºAsuntos!G31),NºAsuntos!I31/NºAsuntos!G31," - ")</f>
        <v>2.2040417209908734</v>
      </c>
      <c r="D31" s="1100">
        <f>IF(ISNUMBER('Resol  Asuntos'!D31/NºAsuntos!G31),'Resol  Asuntos'!D31/NºAsuntos!G31," - ")</f>
        <v>0.19165580182529335</v>
      </c>
      <c r="E31" s="1101">
        <f>IF(ISNUMBER((NºAsuntos!C31+NºAsuntos!E31)/NºAsuntos!G31),(NºAsuntos!C31+NºAsuntos!E31)/NºAsuntos!G31," - ")</f>
        <v>3.1929595827900914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Da+Zb95nRzkepp7LiMaLBf4jhaGbKnChuEQ77vbq97WMdkigCt5kw94mCvpD/CpYpZf/2S51CdjpiVkygG0Zw==" saltValue="6ZwXxxedu+ya2V/Gyupm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BETANZOS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10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19.5</v>
      </c>
      <c r="AN10" s="267">
        <f>IF(ISNUMBER('Resol  Asuntos'!D10/NºAsuntos!G10),'Resol  Asuntos'!D10/NºAsuntos!G10," - ")</f>
        <v>0.5</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213</v>
      </c>
      <c r="AJ12" s="243" t="str">
        <f>IF(ISNUMBER(Datos!BW12),Datos!BW12," - ")</f>
        <v xml:space="preserve"> - </v>
      </c>
      <c r="AK12" s="242" t="str">
        <f>IF(ISNUMBER(Datos!BX12),Datos!BX12," - ")</f>
        <v xml:space="preserve"> - </v>
      </c>
      <c r="AL12" s="266">
        <f>IF(ISNUMBER(NºAsuntos!G12/NºAsuntos!E12),NºAsuntos!G12/NºAsuntos!E12," - ")</f>
        <v>0.75920679886685549</v>
      </c>
      <c r="AM12" s="284">
        <f>IF(ISNUMBER(((NºAsuntos!I12/NºAsuntos!G12)*11)/factor_trimestre),((NºAsuntos!I12/NºAsuntos!G12)*11)/factor_trimestre," - ")</f>
        <v>8.8544776119402986</v>
      </c>
      <c r="AN12" s="267">
        <f>IF(ISNUMBER('Resol  Asuntos'!D12/NºAsuntos!G12),'Resol  Asuntos'!D12/NºAsuntos!G12," - ")</f>
        <v>0.26492537313432835</v>
      </c>
      <c r="AO12" s="268">
        <f>IF(ISNUMBER((NºAsuntos!C12+NºAsuntos!E12)/NºAsuntos!G12),(NºAsuntos!C12+NºAsuntos!E12)/NºAsuntos!G12," - ")</f>
        <v>3.9465174129353233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12</v>
      </c>
      <c r="G14" s="1163">
        <f t="shared" si="5"/>
        <v>12</v>
      </c>
      <c r="H14" s="1162">
        <f t="shared" si="5"/>
        <v>0</v>
      </c>
      <c r="I14" s="1164">
        <f t="shared" si="5"/>
        <v>0</v>
      </c>
      <c r="J14" s="1164">
        <f t="shared" si="5"/>
        <v>0</v>
      </c>
      <c r="K14" s="1164">
        <f t="shared" si="5"/>
        <v>0</v>
      </c>
      <c r="L14" s="1164">
        <f t="shared" si="5"/>
        <v>227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79</v>
      </c>
      <c r="Y14" s="1165">
        <f t="shared" si="6"/>
        <v>81</v>
      </c>
      <c r="Z14" s="1165">
        <f t="shared" si="6"/>
        <v>0</v>
      </c>
      <c r="AA14" s="1165">
        <f t="shared" si="6"/>
        <v>13</v>
      </c>
      <c r="AB14" s="1165">
        <f t="shared" si="6"/>
        <v>2909</v>
      </c>
      <c r="AC14" s="1165">
        <f t="shared" si="6"/>
        <v>23</v>
      </c>
      <c r="AD14" s="1165">
        <f t="shared" si="6"/>
        <v>0</v>
      </c>
      <c r="AE14" s="1169">
        <f t="shared" si="6"/>
        <v>0</v>
      </c>
      <c r="AF14" s="1162">
        <f t="shared" si="6"/>
        <v>0</v>
      </c>
      <c r="AG14" s="1170">
        <f t="shared" si="6"/>
        <v>0</v>
      </c>
      <c r="AH14" s="1167">
        <f t="shared" si="6"/>
        <v>0</v>
      </c>
      <c r="AI14" s="1162">
        <f t="shared" si="6"/>
        <v>214</v>
      </c>
      <c r="AJ14" s="1164">
        <f t="shared" si="6"/>
        <v>0</v>
      </c>
      <c r="AK14" s="1167">
        <f>SUBTOTAL(9,AK9:AK13)</f>
        <v>0</v>
      </c>
      <c r="AL14" s="1171">
        <f>IF(ISNUMBER(NºAsuntos!G14/NºAsuntos!E14),NºAsuntos!G14/NºAsuntos!E14," - ")</f>
        <v>0.75894538606403017</v>
      </c>
      <c r="AM14" s="1171">
        <f>IF(ISNUMBER(((NºAsuntos!I14/NºAsuntos!G14)*11)/factor_trimestre),((NºAsuntos!I14/NºAsuntos!G14)*11)/factor_trimestre," - ")</f>
        <v>8.8808933002481378</v>
      </c>
      <c r="AN14" s="1172">
        <f>IF(ISNUMBER('Resol  Asuntos'!D14/NºAsuntos!G14),'Resol  Asuntos'!D14/NºAsuntos!G14," - ")</f>
        <v>0.26550868486352358</v>
      </c>
      <c r="AO14" s="1173">
        <f>IF(ISNUMBER((NºAsuntos!C14+NºAsuntos!E14)/NºAsuntos!G14),(NºAsuntos!C14+NºAsuntos!E14)/NºAsuntos!G14," - ")</f>
        <v>3.9553349875930519</v>
      </c>
      <c r="AP14" s="1174" t="str">
        <f t="shared" si="2"/>
        <v xml:space="preserve"> - </v>
      </c>
      <c r="AQ14" s="1174">
        <f>IF(ISNUMBER((H14-W14+K14)/(F14)),(H14-W14+K14)/(F14)," - ")</f>
        <v>-0.16666666666666666</v>
      </c>
      <c r="AR14" s="1175">
        <f>IF(ISNUMBER((Datos!P14-Datos!Q14)/(Datos!R14-Datos!P14+Datos!Q14)),(Datos!P14-Datos!Q14)/(Datos!R14-Datos!P14+Datos!Q14)," - ")</f>
        <v>5.3603766751177111E-2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888</v>
      </c>
      <c r="G17" s="373">
        <f>IF(ISNUMBER(IF(D_I="SI",Datos!I17,Datos!I17+Datos!AC17)),IF(D_I="SI",Datos!I17,Datos!I17+Datos!AC17)," - ")</f>
        <v>875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688</v>
      </c>
      <c r="X17" s="240">
        <f>IF(ISNUMBER(Datos!Q17),Datos!Q17," - ")</f>
        <v>26</v>
      </c>
      <c r="Y17" s="374">
        <f t="shared" ref="Y17:Y22" si="9">SUM(W17:X17)</f>
        <v>714</v>
      </c>
      <c r="Z17" s="375" t="str">
        <f>IF(ISNUMBER(Datos!CC17),Datos!CC17," - ")</f>
        <v xml:space="preserve"> - </v>
      </c>
      <c r="AA17" s="372">
        <f>IF(ISNUMBER(IF(D_I="SI",Datos!L17,Datos!L17+Datos!AF17)),IF(D_I="SI",Datos!L17,Datos!L17+Datos!AF17)," - ")</f>
        <v>954</v>
      </c>
      <c r="AB17" s="374">
        <f>IF(ISNUMBER(Datos!R17),Datos!R17," - ")</f>
        <v>81</v>
      </c>
      <c r="AC17" s="374">
        <f t="shared" si="8"/>
        <v>1035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0.91246684350132623</v>
      </c>
      <c r="AM17" s="284">
        <f>IF(ISNUMBER(((NºAsuntos!I17/NºAsuntos!G17)*11)/factor_trimestre),((NºAsuntos!I17/NºAsuntos!G17)*11)/factor_trimestre," - ")</f>
        <v>4.1598837209302326</v>
      </c>
      <c r="AN17" s="267">
        <f>IF(ISNUMBER('Resol  Asuntos'!D17/NºAsuntos!G17),'Resol  Asuntos'!D17/NºAsuntos!G17," - ")</f>
        <v>0.11046511627906977</v>
      </c>
      <c r="AO17" s="268">
        <f>IF(ISNUMBER((NºAsuntos!C17+NºAsuntos!E17)/NºAsuntos!G17),(NºAsuntos!C17+NºAsuntos!E17)/NºAsuntos!G17," - ")</f>
        <v>2.3677325581395348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1.0810810810810811</v>
      </c>
      <c r="AM18" s="284">
        <f>IF(ISNUMBER(((NºAsuntos!I18/NºAsuntos!G18)*11)/factor_trimestre),((NºAsuntos!I18/NºAsuntos!G18)*11)/factor_trimestre," - ")</f>
        <v>3.0749999999999997</v>
      </c>
      <c r="AN18" s="267">
        <f>IF(ISNUMBER('Resol  Asuntos'!D18/NºAsuntos!G18),'Resol  Asuntos'!D18/NºAsuntos!G18," - ")</f>
        <v>0.1</v>
      </c>
      <c r="AO18" s="268">
        <f>IF(ISNUMBER((NºAsuntos!C18+NºAsuntos!E18)/NºAsuntos!G18),(NºAsuntos!C18+NºAsuntos!E18)/NºAsuntos!G18," - ")</f>
        <v>2.0249999999999999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888</v>
      </c>
      <c r="G23" s="1163">
        <f>SUBTOTAL(9,G16:G22)</f>
        <v>919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728</v>
      </c>
      <c r="X23" s="1164">
        <f t="shared" si="14"/>
        <v>26</v>
      </c>
      <c r="Y23" s="1165">
        <f t="shared" si="14"/>
        <v>754</v>
      </c>
      <c r="Z23" s="1165">
        <f t="shared" si="14"/>
        <v>0</v>
      </c>
      <c r="AA23" s="1165">
        <f t="shared" si="14"/>
        <v>995</v>
      </c>
      <c r="AB23" s="1165">
        <f t="shared" si="14"/>
        <v>81</v>
      </c>
      <c r="AC23" s="1165">
        <f t="shared" si="14"/>
        <v>1076</v>
      </c>
      <c r="AD23" s="1165">
        <f t="shared" si="14"/>
        <v>0</v>
      </c>
      <c r="AE23" s="1169">
        <f t="shared" si="14"/>
        <v>0</v>
      </c>
      <c r="AF23" s="1162">
        <f t="shared" si="14"/>
        <v>0</v>
      </c>
      <c r="AG23" s="1170">
        <f t="shared" si="14"/>
        <v>0</v>
      </c>
      <c r="AH23" s="1167">
        <f t="shared" si="14"/>
        <v>0</v>
      </c>
      <c r="AI23" s="1162">
        <f t="shared" si="14"/>
        <v>80</v>
      </c>
      <c r="AJ23" s="1164">
        <f t="shared" si="14"/>
        <v>0</v>
      </c>
      <c r="AK23" s="1167">
        <f t="shared" si="14"/>
        <v>0</v>
      </c>
      <c r="AL23" s="1171">
        <f>IF(ISNUMBER(NºAsuntos!G23/NºAsuntos!E23),NºAsuntos!G23/NºAsuntos!E23," - ")</f>
        <v>0.92035398230088494</v>
      </c>
      <c r="AM23" s="1171">
        <f>IF(ISNUMBER(((NºAsuntos!I23/NºAsuntos!G23)*11)/factor_trimestre),((NºAsuntos!I23/NºAsuntos!G23)*11)/factor_trimestre," - ")</f>
        <v>4.1002747252747254</v>
      </c>
      <c r="AN23" s="1172">
        <f>IF(ISNUMBER('Resol  Asuntos'!D23/NºAsuntos!G23),'Resol  Asuntos'!D23/NºAsuntos!G23," - ")</f>
        <v>0.10989010989010989</v>
      </c>
      <c r="AO23" s="1173">
        <f>IF(ISNUMBER((NºAsuntos!C23+NºAsuntos!E23)/NºAsuntos!G23),(NºAsuntos!C23+NºAsuntos!E23)/NºAsuntos!G23," - ")</f>
        <v>2.348901098901099</v>
      </c>
      <c r="AP23" s="1174" t="str">
        <f t="shared" si="2"/>
        <v xml:space="preserve"> - </v>
      </c>
      <c r="AQ23" s="1174">
        <f>IF(ISNUMBER((H23-W23+K23)/(F23)),(H23-W23+K23)/(F23)," - ")</f>
        <v>-0.81981981981981977</v>
      </c>
      <c r="AR23" s="1175">
        <f>IF(ISNUMBER((Datos!P23-Datos!Q23)/(Datos!R23-Datos!P23+Datos!Q23)),(Datos!P23-Datos!Q23)/(Datos!R23-Datos!P23+Datos!Q23)," - ")</f>
        <v>-0.13829787234042554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900</v>
      </c>
      <c r="G31" s="1118">
        <f t="shared" si="20"/>
        <v>931</v>
      </c>
      <c r="H31" s="1117">
        <f t="shared" si="20"/>
        <v>0</v>
      </c>
      <c r="I31" s="1119">
        <f t="shared" si="20"/>
        <v>0</v>
      </c>
      <c r="J31" s="1119">
        <f t="shared" si="20"/>
        <v>0</v>
      </c>
      <c r="K31" s="1180">
        <f t="shared" si="20"/>
        <v>0</v>
      </c>
      <c r="L31" s="1119">
        <f t="shared" si="20"/>
        <v>240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730</v>
      </c>
      <c r="X31" s="1118">
        <f t="shared" si="21"/>
        <v>105</v>
      </c>
      <c r="Y31" s="1125">
        <f t="shared" si="21"/>
        <v>835</v>
      </c>
      <c r="Z31" s="1125">
        <f t="shared" si="21"/>
        <v>0</v>
      </c>
      <c r="AA31" s="1125">
        <f t="shared" si="21"/>
        <v>1008</v>
      </c>
      <c r="AB31" s="1125">
        <f t="shared" si="21"/>
        <v>2990</v>
      </c>
      <c r="AC31" s="1125">
        <f t="shared" si="21"/>
        <v>1099</v>
      </c>
      <c r="AD31" s="1125">
        <f t="shared" si="21"/>
        <v>0</v>
      </c>
      <c r="AE31" s="1127">
        <f t="shared" si="21"/>
        <v>0</v>
      </c>
      <c r="AF31" s="1128">
        <f t="shared" si="21"/>
        <v>0</v>
      </c>
      <c r="AG31" s="1129">
        <f t="shared" si="21"/>
        <v>0</v>
      </c>
      <c r="AH31" s="1127">
        <f t="shared" si="21"/>
        <v>0</v>
      </c>
      <c r="AI31" s="1117">
        <f t="shared" si="21"/>
        <v>294</v>
      </c>
      <c r="AJ31" s="1117">
        <f t="shared" si="21"/>
        <v>0</v>
      </c>
      <c r="AK31" s="1127">
        <f t="shared" si="21"/>
        <v>0</v>
      </c>
      <c r="AL31" s="1183">
        <f>IF(ISNUMBER(NºAsuntos!G31/NºAsuntos!E31),NºAsuntos!G31/NºAsuntos!E31," - ")</f>
        <v>0.82784673502428496</v>
      </c>
      <c r="AM31" s="1184">
        <f>IF(ISNUMBER(((NºAsuntos!I31/NºAsuntos!G31)*11)/factor_trimestre),((NºAsuntos!I31/NºAsuntos!G31)*11)/factor_trimestre," - ")</f>
        <v>6.612125162972621</v>
      </c>
      <c r="AN31" s="1184">
        <f>IF(ISNUMBER('Resol  Asuntos'!D31/NºAsuntos!G31),'Resol  Asuntos'!D31/NºAsuntos!G31," - ")</f>
        <v>0.19165580182529335</v>
      </c>
      <c r="AO31" s="1185">
        <f>IF(ISNUMBER((NºAsuntos!C31+NºAsuntos!E31)/NºAsuntos!G31),(NºAsuntos!C31+NºAsuntos!E31)/NºAsuntos!G31," - ")</f>
        <v>3.1929595827900914</v>
      </c>
      <c r="AP31" s="1186" t="str">
        <f t="shared" si="2"/>
        <v xml:space="preserve"> - </v>
      </c>
      <c r="AQ31" s="1187">
        <f>IF(OR(ISNUMBER(FIND("01",Criterios!A8,1)),ISNUMBER(FIND("02",Criterios!A8,1)),ISNUMBER(FIND("03",Criterios!A8,1)),ISNUMBER(FIND("04",Criterios!A8,1))),(I31-W31+K31)/(F31-K31),(H31-W31+K31)/(F31-K31))</f>
        <v>-0.81111111111111112</v>
      </c>
      <c r="AR31" s="1188">
        <f>IF(ISNUMBER((Datos!P31-Datos!Q31)/(Datos!R31-Datos!P31+Datos!Q31)),(Datos!P31-Datos!Q31)/(Datos!R31-Datos!P31+Datos!Q31)," - ")</f>
        <v>4.7285464098073555E-2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455.49445660732249</v>
      </c>
      <c r="G33" s="277">
        <f>IF(ISNUMBER(STDEV(G8:G30)),STDEV(G8:G30),"-")</f>
        <v>431.49314401660354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341.66789779104562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92.689959388428747</v>
      </c>
      <c r="AJ33" s="276">
        <f t="shared" si="25"/>
        <v>0</v>
      </c>
      <c r="AK33" s="278">
        <f t="shared" si="25"/>
        <v>0</v>
      </c>
      <c r="AL33" s="273">
        <f t="shared" si="25"/>
        <v>0.1499302783664542</v>
      </c>
      <c r="AM33" s="274">
        <f t="shared" si="25"/>
        <v>6.1304458178184538</v>
      </c>
      <c r="AN33" s="274">
        <f t="shared" si="25"/>
        <v>0.15546923266750634</v>
      </c>
      <c r="AO33" s="275">
        <f t="shared" si="25"/>
        <v>2.0479972784981939</v>
      </c>
      <c r="AP33" s="317" t="str">
        <f t="shared" si="25"/>
        <v>-</v>
      </c>
      <c r="AQ33" s="318">
        <f t="shared" si="25"/>
        <v>0.46184902374797021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HMDIULai/X0+VkEDK2R+YSl+rDBOhIxrzygZSk5qPiJ0LIQjRY276y1tJYF1ATwdQzFmUH9SQEzZpFBjCvVTg==" saltValue="pBkGy/kd7TagH/soIyMC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BETANZOS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-0.7142857142857143</v>
      </c>
      <c r="G10" s="394">
        <f>IF(ISNUMBER((Datos!L10-Datos!V10)/Datos!V10),(Datos!L10-Datos!V10)/Datos!V10," - ")</f>
        <v>-7.1428571428571425E-2</v>
      </c>
      <c r="H10" s="244">
        <f>IF(ISNUMBER((Datos!M10-Datos!W10)/Datos!W10),(Datos!M10-Datos!W10)/Datos!W10," - ")</f>
        <v>-0.83333333333333337</v>
      </c>
      <c r="I10" s="395">
        <f>IF(ISNUMBER((Tasas!C10-Datos!BE10)/Datos!BE10),(Tasas!C10-Datos!BE10)/Datos!BE10," - ")</f>
        <v>2.25</v>
      </c>
      <c r="J10" s="394">
        <f>IF(ISNUMBER((Tasas!D10-Datos!BF10)/Datos!BF10),(Tasas!D10-Datos!BF10)/Datos!BF10," - ")</f>
        <v>-0.41666666666666663</v>
      </c>
      <c r="K10" s="396">
        <f>IF(ISNUMBER((Tasas!E10-Datos!BG10)/Datos!BG10),(Tasas!E10-Datos!BG10)/Datos!BG10," - ")</f>
        <v>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0.31481481481481483</v>
      </c>
      <c r="I12" s="395">
        <f>IF(ISNUMBER((Tasas!C12-Datos!BE12)/Datos!BE12),(Tasas!C12-Datos!BE12)/Datos!BE12," - ")</f>
        <v>0.20183562484550413</v>
      </c>
      <c r="J12" s="394">
        <f>IF(ISNUMBER((Tasas!D12-Datos!BF12)/Datos!BF12),(Tasas!D12-Datos!BF12)/Datos!BF12," - ")</f>
        <v>-6.9498566281891147E-2</v>
      </c>
      <c r="K12" s="396">
        <f>IF(ISNUMBER((Tasas!E12-Datos!BG12)/Datos!BG12),(Tasas!E12-Datos!BG12)/Datos!BG12," - ")</f>
        <v>0.14199144294759969</v>
      </c>
      <c r="M12" t="e">
        <f>IF(Monitorios="SI",Datos!CE12,0)</f>
        <v>#REF!</v>
      </c>
      <c r="N12" t="e">
        <f>IF(Monitorios="SI",Datos!CF12,0)</f>
        <v>#REF!</v>
      </c>
      <c r="O12" t="e">
        <f>IF(Monitorios="SI",Datos!CG12,0)</f>
        <v>#REF!</v>
      </c>
      <c r="P12" t="e">
        <f>IF(Monitorios="SI",Datos!CH12,0)</f>
        <v>#REF!</v>
      </c>
      <c r="Q12">
        <f>IF(J_V="SI",0,Datos!AG12)</f>
        <v>87</v>
      </c>
      <c r="R12">
        <f>IF(J_V="SI",0,Datos!AH12)</f>
        <v>82</v>
      </c>
      <c r="S12">
        <f>IF(J_V="SI",0,Datos!AI12)</f>
        <v>81</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0.27380952380952384</v>
      </c>
      <c r="I14" s="402">
        <f>IF(ISNUMBER((Tasas!C14-Datos!BE14)/Datos!BE14),(Tasas!C14-Datos!BE14)/Datos!BE14," - ")</f>
        <v>0.2076002221300586</v>
      </c>
      <c r="J14" s="400">
        <f>IF(ISNUMBER((Tasas!D14-Datos!BF14)/Datos!BF14),(Tasas!D14-Datos!BF14)/Datos!BF14," - ")</f>
        <v>-8.5328932527574342E-2</v>
      </c>
      <c r="K14" s="403">
        <f>IF(ISNUMBER((Tasas!E14-Datos!BG14)/Datos!BG14),(Tasas!E14-Datos!BG14)/Datos!BG14," - ")</f>
        <v>0.1460125517372223</v>
      </c>
      <c r="M14" t="e">
        <f>IF(Monitorios="SI",Datos!CE14,0)</f>
        <v>#REF!</v>
      </c>
      <c r="N14" t="e">
        <f>IF(Monitorios="SI",Datos!CF14,0)</f>
        <v>#REF!</v>
      </c>
      <c r="O14" t="e">
        <f>IF(Monitorios="SI",Datos!CG14,0)</f>
        <v>#REF!</v>
      </c>
      <c r="P14" t="e">
        <f>IF(Monitorios="SI",Datos!CH14,0)</f>
        <v>#REF!</v>
      </c>
      <c r="Q14">
        <f>IF(J_V="SI",0,Datos!AG14)</f>
        <v>87</v>
      </c>
      <c r="R14">
        <f>IF(J_V="SI",0,Datos!AH14)</f>
        <v>82</v>
      </c>
      <c r="S14">
        <f>IF(J_V="SI",0,Datos!AI14)</f>
        <v>81</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0.13636363636363635</v>
      </c>
      <c r="E17" s="393">
        <f>IF(ISNUMBER(
   IF(D_I="SI",(Datos!J17-Datos!T17)/Datos!T17,(Datos!J17+Datos!AD17-(Datos!T17+Datos!AL17))/(Datos!T17+Datos!AL17))
     ),IF(D_I="SI",(Datos!J17-Datos!T17)/Datos!T17,(Datos!J17+Datos!AD17-(Datos!T17+Datos!AL17))/(Datos!T17+Datos!AL17))," - ")</f>
        <v>0.17445482866043613</v>
      </c>
      <c r="F17" s="393">
        <f>IF(ISNUMBER(
   IF(D_I="SI",(Datos!K17-Datos!U17)/Datos!U17,(Datos!K17+Datos!AE17-(Datos!U17+Datos!AM17))/(Datos!U17+Datos!AM17))
     ),IF(D_I="SI",(Datos!K17-Datos!U17)/Datos!U17,(Datos!K17+Datos!AE17-(Datos!U17+Datos!AM17))/(Datos!U17+Datos!AM17))," - ")</f>
        <v>4.3795620437956208E-3</v>
      </c>
      <c r="G17" s="394">
        <f>IF(ISNUMBER(
   IF(D_I="SI",(Datos!L17-Datos!V17)/Datos!V17,(Datos!L17+Datos!AF17-(Datos!V17+Datos!AN17))/(Datos!V17+Datos!AN17))
     ),IF(D_I="SI",(Datos!L17-Datos!V17)/Datos!V17,(Datos!L17+Datos!AF17-(Datos!V17+Datos!AN17))/(Datos!V17+Datos!AN17))," - ")</f>
        <v>0.29093369418132614</v>
      </c>
      <c r="H17" s="244">
        <f>IF(ISNUMBER((Datos!M17-Datos!W17)/Datos!W17),(Datos!M17-Datos!W17)/Datos!W17," - ")</f>
        <v>-0.18279569892473119</v>
      </c>
      <c r="I17" s="395">
        <f>IF(ISNUMBER((Tasas!C17-Datos!BE17)/Datos!BE17),(Tasas!C17-Datos!BE17)/Datos!BE17," - ")</f>
        <v>0.28530462284041908</v>
      </c>
      <c r="J17" s="394">
        <f>IF(ISNUMBER((Tasas!D17-Datos!BF17)/Datos!BF17),(Tasas!D17-Datos!BF17)/Datos!BF17," - ")</f>
        <v>-0.18635908977244306</v>
      </c>
      <c r="K17" s="396">
        <f>IF(ISNUMBER((Tasas!E17-Datos!BG17)/Datos!BG17),(Tasas!E17-Datos!BG17)/Datos!BG17," - ")</f>
        <v>0.14865212629290472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-0.15384615384615385</v>
      </c>
      <c r="E18" s="393">
        <f>IF(ISNUMBER(
   IF(D_I="SI",(Datos!J18-Datos!T18)/Datos!T18,(Datos!J18+Datos!AD18-(Datos!T18+Datos!AL18))/(Datos!T18+Datos!AL18))
     ),IF(D_I="SI",(Datos!J18-Datos!T18)/Datos!T18,(Datos!J18+Datos!AD18-(Datos!T18+Datos!AL18))/(Datos!T18+Datos!AL18))," - ")</f>
        <v>-0.26</v>
      </c>
      <c r="F18" s="393">
        <f>IF(ISNUMBER(
   IF(D_I="SI",(Datos!K18-Datos!U18)/Datos!U18,(Datos!K18+Datos!AE18-(Datos!U18+Datos!AM18))/(Datos!U18+Datos!AM18))
     ),IF(D_I="SI",(Datos!K18-Datos!U18)/Datos!U18,(Datos!K18+Datos!AE18-(Datos!U18+Datos!AM18))/(Datos!U18+Datos!AM18))," - ")</f>
        <v>-0.27272727272727271</v>
      </c>
      <c r="G18" s="394">
        <f>IF(ISNUMBER(
   IF(D_I="SI",(Datos!L18-Datos!V18)/Datos!V18,(Datos!L18+Datos!AF18-(Datos!V18+Datos!AN18))/(Datos!V18+Datos!AN18))
     ),IF(D_I="SI",(Datos!L18-Datos!V18)/Datos!V18,(Datos!L18+Datos!AF18-(Datos!V18+Datos!AN18))/(Datos!V18+Datos!AN18))," - ")</f>
        <v>-0.1276595744680851</v>
      </c>
      <c r="H18" s="244">
        <f>IF(ISNUMBER((Datos!M18-Datos!W18)/Datos!W18),(Datos!M18-Datos!W18)/Datos!W18," - ")</f>
        <v>-0.5</v>
      </c>
      <c r="I18" s="395">
        <f>IF(ISNUMBER((Tasas!C18-Datos!BE18)/Datos!BE18),(Tasas!C18-Datos!BE18)/Datos!BE18," - ")</f>
        <v>0.19946808510638295</v>
      </c>
      <c r="J18" s="394">
        <f>IF(ISNUMBER((Tasas!D18-Datos!BF18)/Datos!BF18),(Tasas!D18-Datos!BF18)/Datos!BF18," - ")</f>
        <v>-0.31249999999999994</v>
      </c>
      <c r="K18" s="396">
        <f>IF(ISNUMBER((Tasas!E18-Datos!BG18)/Datos!BG18),(Tasas!E18-Datos!BG18)/Datos!BG18," - ")</f>
        <v>9.1911764705882332E-2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0.11800486618004866</v>
      </c>
      <c r="E23" s="399">
        <f>IF(ISNUMBER(
   IF(D_I="SI",(Datos!J23-Datos!T23)/Datos!T23,(Datos!J23+Datos!AD23-(Datos!T23+Datos!AL23))/(Datos!T23+Datos!AL23))
     ),IF(D_I="SI",(Datos!J23-Datos!T23)/Datos!T23,(Datos!J23+Datos!AD23-(Datos!T23+Datos!AL23))/(Datos!T23+Datos!AL23))," - ")</f>
        <v>0.1430635838150289</v>
      </c>
      <c r="F23" s="399">
        <f>IF(ISNUMBER(
   IF(D_I="SI",(Datos!K23-Datos!U23)/Datos!U23,(Datos!K23+Datos!AE23-(Datos!U23+Datos!AM23))/(Datos!U23+Datos!AM23))
     ),IF(D_I="SI",(Datos!K23-Datos!U23)/Datos!U23,(Datos!K23+Datos!AE23-(Datos!U23+Datos!AM23))/(Datos!U23+Datos!AM23))," - ")</f>
        <v>-1.6216216216216217E-2</v>
      </c>
      <c r="G23" s="400">
        <f>IF(ISNUMBER(
   IF(D_I="SI",(Datos!L23-Datos!V23)/Datos!V23,(Datos!L23+Datos!AF23-(Datos!V23+Datos!AN23))/(Datos!V23+Datos!AN23))
     ),IF(D_I="SI",(Datos!L23-Datos!V23)/Datos!V23,(Datos!L23+Datos!AF23-(Datos!V23+Datos!AN23))/(Datos!V23+Datos!AN23))," - ")</f>
        <v>0.26590330788804073</v>
      </c>
      <c r="H23" s="401">
        <f>IF(ISNUMBER((Datos!M23-Datos!W23)/Datos!W23),(Datos!M23-Datos!W23)/Datos!W23," - ")</f>
        <v>-0.20792079207920791</v>
      </c>
      <c r="I23" s="402">
        <f>IF(ISNUMBER((Tasas!C23-Datos!BE23)/Datos!BE23),(Tasas!C23-Datos!BE23)/Datos!BE23," - ")</f>
        <v>0.28676984593015126</v>
      </c>
      <c r="J23" s="400">
        <f>IF(ISNUMBER((Tasas!D23-Datos!BF23)/Datos!BF23),(Tasas!D23-Datos!BF23)/Datos!BF23," - ")</f>
        <v>-0.19486454139919485</v>
      </c>
      <c r="K23" s="403">
        <f>IF(ISNUMBER((Tasas!E23-Datos!BG23)/Datos!BG23),(Tasas!E23-Datos!BG23)/Datos!BG23," - ")</f>
        <v>0.14807583433739305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0.17567567567567569</v>
      </c>
      <c r="E31" s="409">
        <f>IF(ISNUMBER(
   IF(J_V="SI",(Datos!J31-Datos!T31)/Datos!T31,(Datos!J31+Datos!Z31-(Datos!T31+Datos!AH31))/(Datos!T31+Datos!AH31))
     ),IF(J_V="SI",(Datos!J31-Datos!T31)/Datos!T31,(Datos!J31+Datos!Z31-(Datos!T31+Datos!AH31))/(Datos!T31+Datos!AH31))," - ")</f>
        <v>0.31511710432931156</v>
      </c>
      <c r="F31" s="409">
        <f>IF(ISNUMBER(
   IF(J_V="SI",(Datos!K31-Datos!U31)/Datos!U31,(Datos!K31+Datos!AA31-(Datos!U31+Datos!AI31))/(Datos!U31+Datos!AI31))
     ),IF(J_V="SI",(Datos!K31-Datos!U31)/Datos!U31,(Datos!K31+Datos!AA31-(Datos!U31+Datos!AI31))/(Datos!U31+Datos!AI31))," - ")</f>
        <v>5.0684931506849315E-2</v>
      </c>
      <c r="G31" s="410">
        <f>IF(ISNUMBER(
   IF(J_V="SI",(Datos!L31-Datos!V31)/Datos!V31,(Datos!L31+Datos!AB31-(Datos!V31+Datos!AJ31))/(Datos!V31+Datos!AJ31))
     ),IF(J_V="SI",(Datos!L31-Datos!V31)/Datos!V31,(Datos!L31+Datos!AB31-(Datos!V31+Datos!AJ31))/(Datos!V31+Datos!AJ31))," - ")</f>
        <v>0.32536260290082319</v>
      </c>
      <c r="H31" s="411">
        <f>IF(ISNUMBER((Datos!M31-Datos!W31)/Datos!W31),(Datos!M31-Datos!W31)/Datos!W31," - ")</f>
        <v>9.2936802973977689E-2</v>
      </c>
      <c r="I31" s="408">
        <f>IF(ISNUMBER((Tasas!C31-Datos!BE31)/Datos!BE31),(Tasas!C31-Datos!BE31)/Datos!BE31," - ")</f>
        <v>0.2614272491754901</v>
      </c>
      <c r="J31" s="409">
        <f>IF(ISNUMBER((Tasas!D31-Datos!BF31)/Datos!BF31),(Tasas!D31-Datos!BF31)/Datos!BF31," - ")</f>
        <v>-9.7362997855069994E-2</v>
      </c>
      <c r="K31" s="410">
        <f>IF(ISNUMBER((Tasas!E31-Datos!BG31)/Datos!BG31),(Tasas!E31-Datos!BG31)/Datos!BG31," - ")</f>
        <v>0.16572167813791783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0.13374433716463496</v>
      </c>
      <c r="E33" s="303">
        <f t="shared" si="1"/>
        <v>0.39588749319528449</v>
      </c>
      <c r="F33" s="303">
        <f t="shared" si="1"/>
        <v>0.33438562655010629</v>
      </c>
      <c r="G33" s="304">
        <f t="shared" si="1"/>
        <v>0.21965877348156318</v>
      </c>
      <c r="H33" s="310">
        <f t="shared" si="1"/>
        <v>0.44278767337328012</v>
      </c>
      <c r="I33" s="302">
        <f t="shared" si="1"/>
        <v>0.82314314629847152</v>
      </c>
      <c r="J33" s="303">
        <f t="shared" si="1"/>
        <v>0.13362958222574617</v>
      </c>
      <c r="K33" s="304">
        <f t="shared" si="1"/>
        <v>0.55755237739154373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suf4dm3zF6cI5am77aSMgOi5tWErvYYVRjYvo3+cRwIqFtQZIx2cycOFYAXAmvICa9yWE/d4nXrRKZfAtecnA==" saltValue="GruQjFMa3LkrzDlGnVz7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